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95" windowHeight="4770" tabRatio="601" firstSheet="2" activeTab="3"/>
  </bookViews>
  <sheets>
    <sheet name=" P &amp; L ONLY JUNE" sheetId="1" state="hidden" r:id="rId1"/>
    <sheet name="ONLY JUNE SCH" sheetId="2" state="hidden" r:id="rId2"/>
    <sheet name="BS" sheetId="3" r:id="rId3"/>
    <sheet name="P &amp; L " sheetId="4" r:id="rId4"/>
    <sheet name="Cash Flow" sheetId="5" state="hidden" r:id="rId5"/>
    <sheet name="SCH" sheetId="6" state="hidden" r:id="rId6"/>
  </sheets>
  <definedNames>
    <definedName name="_xlnm.Print_Area" localSheetId="5">'SCH'!$A$1:$H$10</definedName>
  </definedNames>
  <calcPr fullCalcOnLoad="1"/>
</workbook>
</file>

<file path=xl/sharedStrings.xml><?xml version="1.0" encoding="utf-8"?>
<sst xmlns="http://schemas.openxmlformats.org/spreadsheetml/2006/main" count="863" uniqueCount="374">
  <si>
    <t>I</t>
  </si>
  <si>
    <t>c. Other Income</t>
  </si>
  <si>
    <t>Rs.</t>
  </si>
  <si>
    <t>II</t>
  </si>
  <si>
    <t>a. Preliminery Exps.</t>
  </si>
  <si>
    <t>PARTICULARS</t>
  </si>
  <si>
    <t xml:space="preserve"> </t>
  </si>
  <si>
    <t>TOTAL EXPENDITURE</t>
  </si>
  <si>
    <t>PERIOD ITEMS</t>
  </si>
  <si>
    <t>PRIOR PERIOD ITEMS</t>
  </si>
  <si>
    <t>DEPRECIATION</t>
  </si>
  <si>
    <t xml:space="preserve">LESS : DEPRECIATION ON </t>
  </si>
  <si>
    <t>BALANCE SHEET</t>
  </si>
  <si>
    <t>SOURCES OF FUNDS :</t>
  </si>
  <si>
    <t>SHAREHOLDERS FUND</t>
  </si>
  <si>
    <t>Share Capital</t>
  </si>
  <si>
    <t xml:space="preserve">RESERVES &amp; SURPLUS </t>
  </si>
  <si>
    <t>Revaluation reserve</t>
  </si>
  <si>
    <t>LOAN FUND</t>
  </si>
  <si>
    <t>a SECURED LOANS</t>
  </si>
  <si>
    <t>b UNSECURED LOANS</t>
  </si>
  <si>
    <t>APPLICATION OF FUNDS:</t>
  </si>
  <si>
    <t xml:space="preserve">    GROSS BLOCK</t>
  </si>
  <si>
    <t xml:space="preserve">     LESS: DEPRECIATION</t>
  </si>
  <si>
    <t xml:space="preserve">     NET BLOCK</t>
  </si>
  <si>
    <t>ADVANCES</t>
  </si>
  <si>
    <t>D. LOANS &amp; ADVANCES</t>
  </si>
  <si>
    <t>LESS</t>
  </si>
  <si>
    <t>C. CASH &amp; BANK BALANCES</t>
  </si>
  <si>
    <t>TOTAL CURRENT LIABILITES :</t>
  </si>
  <si>
    <t>NET CURRENT ASSETS :</t>
  </si>
  <si>
    <t xml:space="preserve">    (To the extent not written off)</t>
  </si>
  <si>
    <t xml:space="preserve">    (Loss. C/f from P &amp; L A/c.)</t>
  </si>
  <si>
    <t>TOTAL</t>
  </si>
  <si>
    <t>SR</t>
  </si>
  <si>
    <t>NO</t>
  </si>
  <si>
    <t>AUTHORISED SHARE CAPITAL</t>
  </si>
  <si>
    <t>9000000 Equity Shares of Rs. 10/each</t>
  </si>
  <si>
    <t>Total</t>
  </si>
  <si>
    <t>ISSUED,SUBSCRIBED &amp; PAID UP :</t>
  </si>
  <si>
    <t>1.</t>
  </si>
  <si>
    <t>2.</t>
  </si>
  <si>
    <t>(Secured by Pari Passu charges of all present &amp; future</t>
  </si>
  <si>
    <t>3.</t>
  </si>
  <si>
    <t>Central Bank of India</t>
  </si>
  <si>
    <t>(Working Capital facilities)</t>
  </si>
  <si>
    <t>charge upon the immovable properties of the company</t>
  </si>
  <si>
    <t>4.</t>
  </si>
  <si>
    <t>Fixed Deposits</t>
  </si>
  <si>
    <t xml:space="preserve">(Including Fixed Deposits Received in Foreign </t>
  </si>
  <si>
    <t>Exchange : USD 155000 in the year 1996-97)</t>
  </si>
  <si>
    <t>Advances from Directors</t>
  </si>
  <si>
    <t>Other Loans &amp; Advances</t>
  </si>
  <si>
    <t>1</t>
  </si>
  <si>
    <t>Raw Materials</t>
  </si>
  <si>
    <t>Work-in-Process</t>
  </si>
  <si>
    <t>Finished Goods</t>
  </si>
  <si>
    <t>5.</t>
  </si>
  <si>
    <t>CASH &amp; BANK BALANCES</t>
  </si>
  <si>
    <t>Opening Stock</t>
  </si>
  <si>
    <t xml:space="preserve">Add </t>
  </si>
  <si>
    <t>Purchases during the year</t>
  </si>
  <si>
    <t xml:space="preserve">Less  </t>
  </si>
  <si>
    <t>Closing Stock</t>
  </si>
  <si>
    <t>6.</t>
  </si>
  <si>
    <t>Electricity Charges</t>
  </si>
  <si>
    <t>Job Work Charges</t>
  </si>
  <si>
    <t>Excise Duty</t>
  </si>
  <si>
    <t>7.</t>
  </si>
  <si>
    <t>Tools A/c(W/off)</t>
  </si>
  <si>
    <t>D.G.Set Running Exps.</t>
  </si>
  <si>
    <t>Contribution to Provident and Pension Fund</t>
  </si>
  <si>
    <t>Welfare Expenses</t>
  </si>
  <si>
    <t>Electrical and Electricity Exps.</t>
  </si>
  <si>
    <t>Insurance Exps.</t>
  </si>
  <si>
    <t>Rates &amp; Taxes</t>
  </si>
  <si>
    <t>Research &amp; Development Exps.</t>
  </si>
  <si>
    <t>Security &amp; Service Charges</t>
  </si>
  <si>
    <t>Stationery &amp; Printing Exps.</t>
  </si>
  <si>
    <t>Telephone,Telex &amp; Postage Exps.</t>
  </si>
  <si>
    <t>Auditor's Remuneration</t>
  </si>
  <si>
    <t>Other Misc.Exps.</t>
  </si>
  <si>
    <t>Interest</t>
  </si>
  <si>
    <t>Bank Commission</t>
  </si>
  <si>
    <t>Advertisement Exps.</t>
  </si>
  <si>
    <t>Commission Exps.</t>
  </si>
  <si>
    <t>Travelling Exps.</t>
  </si>
  <si>
    <t>Packing Exps.</t>
  </si>
  <si>
    <t>2</t>
  </si>
  <si>
    <t>3</t>
  </si>
  <si>
    <t>SCH</t>
  </si>
  <si>
    <t>4</t>
  </si>
  <si>
    <t>VOLGA AIR TECHNICS LIMITED</t>
  </si>
  <si>
    <t>Total : -</t>
  </si>
  <si>
    <t>III</t>
  </si>
  <si>
    <t xml:space="preserve">incremental value of land &amp; buildings </t>
  </si>
  <si>
    <t xml:space="preserve">on account of their revaluation on </t>
  </si>
  <si>
    <t>P &amp; L A/c as on 31 3 97 (set off)</t>
  </si>
  <si>
    <t xml:space="preserve">A. INVENTORIES (VALUED &amp; </t>
  </si>
  <si>
    <t>SCH.</t>
  </si>
  <si>
    <t>EMPLOYMENT COST</t>
  </si>
  <si>
    <t>AS PER OUR REPORT OF EVEN DATE</t>
  </si>
  <si>
    <t>(PROPRIETOR)</t>
  </si>
  <si>
    <t>S.N. MEHTA</t>
  </si>
  <si>
    <t>CHAIRMAN &amp; MANAGING DIRECTOR</t>
  </si>
  <si>
    <t xml:space="preserve">M.S. BHALAVAT </t>
  </si>
  <si>
    <t>PLACE : CHANGODAR</t>
  </si>
  <si>
    <t>FOR S.N. MEHTA  &amp; ASSOCIATES</t>
  </si>
  <si>
    <t>B.  DEBTORS</t>
  </si>
  <si>
    <t>FOR  S.N.MEHTA &amp; ASSOCIATES</t>
  </si>
  <si>
    <t>S.N.MEHTA</t>
  </si>
  <si>
    <t>PLACE : AHMEDABAD</t>
  </si>
  <si>
    <t xml:space="preserve">c. Employment Cost                   </t>
  </si>
  <si>
    <t xml:space="preserve">d. Administrative Exps.            </t>
  </si>
  <si>
    <t xml:space="preserve">e. Financial Exps.                     </t>
  </si>
  <si>
    <t>GIIC Ltd. (Term Loan)                            *</t>
  </si>
  <si>
    <t>I.D.B.I Loan A/c                                  *</t>
  </si>
  <si>
    <t>Legal Exps.</t>
  </si>
  <si>
    <t>VOLGA AIR TECHNICS LTD</t>
  </si>
  <si>
    <t>FIXED ASSETS</t>
  </si>
  <si>
    <t>AS ON</t>
  </si>
  <si>
    <t>AMOUNT RS.</t>
  </si>
  <si>
    <t>&amp;</t>
  </si>
  <si>
    <t>UP TO</t>
  </si>
  <si>
    <t>FOR THE YEAR</t>
  </si>
  <si>
    <t>NET BLOCK</t>
  </si>
  <si>
    <t>GROSS BLOCK</t>
  </si>
  <si>
    <t>LAND</t>
  </si>
  <si>
    <t>MACHINERY</t>
  </si>
  <si>
    <t>OFFICE EQUIPMENT</t>
  </si>
  <si>
    <t>Repairs to Machineries</t>
  </si>
  <si>
    <t xml:space="preserve">27.3.98  Less: debit balance of </t>
  </si>
  <si>
    <t>Less t/s to P &amp; L A/c</t>
  </si>
  <si>
    <t xml:space="preserve">    CERTIFIED BY THE </t>
  </si>
  <si>
    <t xml:space="preserve">    DIRECTORS)</t>
  </si>
  <si>
    <t xml:space="preserve">     (CONSIDERED GOOD)</t>
  </si>
  <si>
    <t xml:space="preserve">    TOTAL CURRENT ASSETS</t>
  </si>
  <si>
    <t>INCOMES</t>
  </si>
  <si>
    <t xml:space="preserve">EXPENSES  </t>
  </si>
  <si>
    <t>EXPENSES WRITTEN OFF</t>
  </si>
  <si>
    <t>PROFIT/(LOSS) BEFORE PRIOR-</t>
  </si>
  <si>
    <t>PROFIT/(LOSS) BEFORE DEP &amp;TAX</t>
  </si>
  <si>
    <t>PROFIT/(LOSS) BEFORE TAX</t>
  </si>
  <si>
    <t>PROFIT/(LOSS)FOR THE YEAR AFTER TAX</t>
  </si>
  <si>
    <t xml:space="preserve">ADD : PROFIT/(LOSS) OF </t>
  </si>
  <si>
    <t xml:space="preserve">           EARLIER YEARS</t>
  </si>
  <si>
    <t>CONT……..2</t>
  </si>
  <si>
    <t>PAGE-2</t>
  </si>
  <si>
    <t>UNSECURED LOANS                              SCHEDULE-3</t>
  </si>
  <si>
    <t>SECURED LOANS                                  SCHEDULE-2</t>
  </si>
  <si>
    <t>FACTORY BUILDING</t>
  </si>
  <si>
    <t>FURNITURE &amp; FIXTURES</t>
  </si>
  <si>
    <t>FIXED ASSETS                                        SCHEDULE-4</t>
  </si>
  <si>
    <t>NAME OF THE</t>
  </si>
  <si>
    <t>OP BALANCE</t>
  </si>
  <si>
    <t>ADDITIONS</t>
  </si>
  <si>
    <t>DEDUCTION</t>
  </si>
  <si>
    <t>BALANCE</t>
  </si>
  <si>
    <t>NET AS ON</t>
  </si>
  <si>
    <t>INCREMENTAL</t>
  </si>
  <si>
    <t>ADJUSTMENT</t>
  </si>
  <si>
    <t>VEHICLES</t>
  </si>
  <si>
    <t xml:space="preserve">    </t>
  </si>
  <si>
    <t>8127500 Equity Shares of Rs. 10/each fully Paid up</t>
  </si>
  <si>
    <t xml:space="preserve">CURRENT ASSETS, LOANS &amp; </t>
  </si>
  <si>
    <t>f. Selling &amp; distribution Exps.</t>
  </si>
  <si>
    <t>PROFIT/(LOSS)FOR THE YEAR</t>
  </si>
  <si>
    <t xml:space="preserve">CURRENT LIABILITIES </t>
  </si>
  <si>
    <t>(Secured by hypo.of all stocks and book-debts,second</t>
  </si>
  <si>
    <t>RAW MATERIALS CONSUMED</t>
  </si>
  <si>
    <t>MANUFACTURING EXPENSES</t>
  </si>
  <si>
    <t xml:space="preserve">PROFIT/(LOSS) CARRIED TO </t>
  </si>
  <si>
    <t>b.Increase/( Decrease) In Inventories</t>
  </si>
  <si>
    <t>GIIC Bills Discounting</t>
  </si>
  <si>
    <t>CASH ON HAND</t>
  </si>
  <si>
    <t>Consumbal exps.</t>
  </si>
  <si>
    <t>Transportion Outward</t>
  </si>
  <si>
    <t>Marketing Exps.</t>
  </si>
  <si>
    <t>31,3,2003</t>
  </si>
  <si>
    <t>NOTE: DEPRECIATION INCLUDED OF  PRIOR PERIOD ADJUSTMENT EXPS OF RS.10474.00</t>
  </si>
  <si>
    <t>movable properties, &amp; mortgage of immovable properties &amp;</t>
  </si>
  <si>
    <t>(Secured by personal guarantee of two Directors &amp; one ex director)</t>
  </si>
  <si>
    <t>&amp; personal guarantee of two Directors &amp; one ex director)</t>
  </si>
  <si>
    <t>personal guarantee of two Directors &amp; one ex director)</t>
  </si>
  <si>
    <t xml:space="preserve">Repairs &amp; maintenance </t>
  </si>
  <si>
    <t>DIRECTORS</t>
  </si>
  <si>
    <t>* Including Interest Accrued and due.  Up to 30.06.2000</t>
  </si>
  <si>
    <t>b. Share Issue Exps.</t>
  </si>
  <si>
    <t xml:space="preserve">            INCREMENTAL VALUE ADJUSTED</t>
  </si>
  <si>
    <t xml:space="preserve">           AGAINST REVALUATION RESERVE</t>
  </si>
  <si>
    <t>Kasar Account</t>
  </si>
  <si>
    <t>Professional Charges</t>
  </si>
  <si>
    <t>Motor car exps.</t>
  </si>
  <si>
    <t>SHARE CAPITAL                                   SCHEDULE - 1</t>
  </si>
  <si>
    <t xml:space="preserve">VOLGA AIR TECHNICS LIMITED                    </t>
  </si>
  <si>
    <t xml:space="preserve">e.Sundry Debit/Credit Bal.W/o </t>
  </si>
  <si>
    <t>d. profit on sale of assets</t>
  </si>
  <si>
    <t>31,3,2004</t>
  </si>
  <si>
    <t>Sundry Finalcial a/c w/o</t>
  </si>
  <si>
    <t xml:space="preserve">b. Manufacturing Exps.(including             </t>
  </si>
  <si>
    <t xml:space="preserve">     expences for job work)</t>
  </si>
  <si>
    <t>Cost of matiral consumed</t>
  </si>
  <si>
    <t>COMPANY SECRETARY</t>
  </si>
  <si>
    <t>(MRS.A.N.FADIA)</t>
  </si>
  <si>
    <t>01,04,2003</t>
  </si>
  <si>
    <t>ENDED 31,3,04</t>
  </si>
  <si>
    <t>31.3.2004</t>
  </si>
  <si>
    <t>BOI FIX DEPOSIT</t>
  </si>
  <si>
    <t>H D F C</t>
  </si>
  <si>
    <t>B O I</t>
  </si>
  <si>
    <t>AS AT 31.3.2004</t>
  </si>
  <si>
    <t>Director Foren Tour</t>
  </si>
  <si>
    <t xml:space="preserve">DATE : </t>
  </si>
  <si>
    <t>DATE :</t>
  </si>
  <si>
    <t>b. sales Job Work</t>
  </si>
  <si>
    <t>AS AT30.06.2004</t>
  </si>
  <si>
    <t>AS AT 30.06.2004</t>
  </si>
  <si>
    <t>DEFERRED PAYMENT</t>
  </si>
  <si>
    <t>(Deferred payment arrangemnet is secured by exclusive</t>
  </si>
  <si>
    <t>Charge on the related Asset)</t>
  </si>
  <si>
    <t>INVENTORIES                              SCHEDULE-5</t>
  </si>
  <si>
    <t xml:space="preserve">            SCHEDULE-6</t>
  </si>
  <si>
    <t xml:space="preserve">           SCHEDULE - 7</t>
  </si>
  <si>
    <t xml:space="preserve">                          SCHEDULE -8</t>
  </si>
  <si>
    <t xml:space="preserve">                 SCHEDULE 9</t>
  </si>
  <si>
    <t>ADMINISTRATIVE EXPENSES                   SCHEDULE-10</t>
  </si>
  <si>
    <t>FINANCIAL EXPENSES                            SCHEDULE-11</t>
  </si>
  <si>
    <t>SELLING &amp; DISTRIBUTION EXPS.             SCHEDULE-12</t>
  </si>
  <si>
    <t>3.CURRENT LIABILITIES &amp; PROVISIONS</t>
  </si>
  <si>
    <t>4. MISCELLANEOUS EXPENSES</t>
  </si>
  <si>
    <t>5. PROFIT &amp; LOSS ACCOUNT</t>
  </si>
  <si>
    <t>a. sales Excise(ex Rs.83232.48)</t>
  </si>
  <si>
    <t xml:space="preserve"> PROFIT AND LOSS ACCOUNT FOR THE MONTH OF JUNE </t>
  </si>
  <si>
    <t xml:space="preserve">a. Raw Material Consumed  </t>
  </si>
  <si>
    <t>FOR JUNE</t>
  </si>
  <si>
    <t>FOR THE MONTH OF JUNE</t>
  </si>
  <si>
    <t>House Keping Exps</t>
  </si>
  <si>
    <t xml:space="preserve">Wages </t>
  </si>
  <si>
    <t>Incentive Exps</t>
  </si>
  <si>
    <t>Stipend</t>
  </si>
  <si>
    <t>Bonus &amp; Grauti</t>
  </si>
  <si>
    <t xml:space="preserve">Repairs &amp; maintenance other  </t>
  </si>
  <si>
    <t>Salarie</t>
  </si>
  <si>
    <t>Staff Conv &amp; Welfare Expenses</t>
  </si>
  <si>
    <t>8.</t>
  </si>
  <si>
    <t>Trading A/c Stock</t>
  </si>
  <si>
    <t>Loan from Directors</t>
  </si>
  <si>
    <t>b.sales for Trading</t>
  </si>
  <si>
    <t>e. Other Income</t>
  </si>
  <si>
    <t>C.Increase/( Decrease) In Inventories(Mfg Goods)</t>
  </si>
  <si>
    <t>d.Increase/( Decrease) In Inventories(Trading Goods)</t>
  </si>
  <si>
    <t>g .Trading Goods Purchase</t>
  </si>
  <si>
    <t>h. Loss on Sales Of Asset</t>
  </si>
  <si>
    <t>a. sales (Incuding Job Work)</t>
  </si>
  <si>
    <t>Purchase</t>
  </si>
  <si>
    <t>T .Purchase</t>
  </si>
  <si>
    <t>Repairs to Factory Building &amp; Others</t>
  </si>
  <si>
    <t>Salaries,Bonus,Gratuity</t>
  </si>
  <si>
    <t>Sales Tax Exps</t>
  </si>
  <si>
    <t xml:space="preserve">TOTAL </t>
  </si>
  <si>
    <t>(Secured by Hypo.of all stocks and book-debts,second</t>
  </si>
  <si>
    <t>* Including Interest Accrued and due  up to 30.06.2000</t>
  </si>
  <si>
    <t>A J SHAH</t>
  </si>
  <si>
    <t>M S Bhalavat</t>
  </si>
  <si>
    <t>A J Shah</t>
  </si>
  <si>
    <t>PROFIT/(LOSS) BEFORE DEPRECIATION &amp;TAX</t>
  </si>
  <si>
    <t>DIRECTOR</t>
  </si>
  <si>
    <t xml:space="preserve">     expenses for job work)</t>
  </si>
  <si>
    <t>personal guarantee of one Director &amp; two ex directors)</t>
  </si>
  <si>
    <t>&amp; personal guarantee of one Director &amp; two ex directors)</t>
  </si>
  <si>
    <t>(Deferred payment arrangement is secured by exclusive</t>
  </si>
  <si>
    <t>(Secured by personal guarantee of one Director &amp; two ex directors)</t>
  </si>
  <si>
    <t>Cost of material consumed</t>
  </si>
  <si>
    <t>Wages ,Bonus,Gratuity &amp; Incentive</t>
  </si>
  <si>
    <t>Consumable exps.</t>
  </si>
  <si>
    <t>Transportation Outward</t>
  </si>
  <si>
    <t>For the Year Ended</t>
  </si>
  <si>
    <t>CASH FLOW STATEMENT</t>
  </si>
  <si>
    <t>( A )</t>
  </si>
  <si>
    <t>Cash Flow From Operating Activities</t>
  </si>
  <si>
    <t>Net Profit/(loss) Before Tax and Extraordinary Items</t>
  </si>
  <si>
    <t>Adjustment for :</t>
  </si>
  <si>
    <t xml:space="preserve">                      Depreciation</t>
  </si>
  <si>
    <t xml:space="preserve">                      Foreign Exchange</t>
  </si>
  <si>
    <t>-</t>
  </si>
  <si>
    <t xml:space="preserve">                      Investments</t>
  </si>
  <si>
    <t xml:space="preserve">                      Interest/Dividend/Other Income</t>
  </si>
  <si>
    <t>OPERATING PROFIT BEFORE WORKING CAPITAL CHANGES</t>
  </si>
  <si>
    <t xml:space="preserve">                     Trade and Other Receivables</t>
  </si>
  <si>
    <t xml:space="preserve">                     Inventories</t>
  </si>
  <si>
    <t xml:space="preserve">                     Trade Payables</t>
  </si>
  <si>
    <t>CASH GENERATED FROM OPERATION</t>
  </si>
  <si>
    <t>Interest Paid</t>
  </si>
  <si>
    <t>Direct Taxes Paid</t>
  </si>
  <si>
    <t>Cash Flow Before Extraordinary Items</t>
  </si>
  <si>
    <t>EXTRAORDINARY ITEMS</t>
  </si>
  <si>
    <t>1) Misc Exps W/o</t>
  </si>
  <si>
    <t>2) Loss On Sale of Assets</t>
  </si>
  <si>
    <t>( B )</t>
  </si>
  <si>
    <t>CASH FLOW FROM INVESTING ACTIVITIES :</t>
  </si>
  <si>
    <t xml:space="preserve">                   Purchase of Fixed Assets</t>
  </si>
  <si>
    <t xml:space="preserve">                   Sale of Fixed Assets</t>
  </si>
  <si>
    <t xml:space="preserve">                   Acquisitions of Companies</t>
  </si>
  <si>
    <t xml:space="preserve">                   Purchase of Investments</t>
  </si>
  <si>
    <t xml:space="preserve">                   Sale of Investment</t>
  </si>
  <si>
    <t>NET CASH USED IN INVESTING ACTIVITIES</t>
  </si>
  <si>
    <t>( C )</t>
  </si>
  <si>
    <t>CASH FLOW FROM FINANCING ACTIVITIES</t>
  </si>
  <si>
    <t xml:space="preserve">                   Proceeds from issue of share Capital</t>
  </si>
  <si>
    <t xml:space="preserve">                   Proceeds from Loang Term Borrowings</t>
  </si>
  <si>
    <t>NET CASH USED IN FINANCING ACTIVITIES</t>
  </si>
  <si>
    <t>Net Increase in cash and cash Equivalents</t>
  </si>
  <si>
    <t>NET CASH FROM OPERATING ACTIVITIES</t>
  </si>
  <si>
    <t>MRS.A.N.FADIA</t>
  </si>
  <si>
    <t>Company Secretary</t>
  </si>
  <si>
    <t>Place : Changodar</t>
  </si>
  <si>
    <t>AUDITOR'S REPORT</t>
  </si>
  <si>
    <t>the members of the Company.</t>
  </si>
  <si>
    <t xml:space="preserve">                                                                                   FOR S.N.MEHTA &amp; ASSOCIATES</t>
  </si>
  <si>
    <t xml:space="preserve">                                                                                       CHARTERED ACCOUNTANTS</t>
  </si>
  <si>
    <t xml:space="preserve">PLACE : AHMEDABAD                                                                      ( S.N.MEHTA)             </t>
  </si>
  <si>
    <t xml:space="preserve">                      Cr./Dr. Balance Written off</t>
  </si>
  <si>
    <t>4) Cr.Balance Written off</t>
  </si>
  <si>
    <t>3) Other Income</t>
  </si>
  <si>
    <t xml:space="preserve">                   Interest Received</t>
  </si>
  <si>
    <t xml:space="preserve">                   Dividend Received</t>
  </si>
  <si>
    <t>We have examined the attached Cash Flow Statement of Volga Air Technics Limited  for the  year ended</t>
  </si>
  <si>
    <t>Clause 32 of the Listing Agreement with the Stock Exchanges and is  based on  and  in  agreement  with</t>
  </si>
  <si>
    <t>M. S. BHALAVAT                                                                                           A.J.SHAH</t>
  </si>
  <si>
    <t>Chairman &amp; Managing Directors                                                                       Director</t>
  </si>
  <si>
    <t>AS AT 31.03.2008</t>
  </si>
  <si>
    <t xml:space="preserve">f.Sundry Debit/Credit Bal.W/o </t>
  </si>
  <si>
    <t>LESS : REVALUATION RESERVE</t>
  </si>
  <si>
    <t xml:space="preserve">             LOSS REVERSED</t>
  </si>
  <si>
    <t>BANK OF INDIA KHANPUR</t>
  </si>
  <si>
    <t>BANK OF INDIA ELLISBRIGE</t>
  </si>
  <si>
    <t>KOTAK MAHINDRA BANK LTD</t>
  </si>
  <si>
    <t>31.03.2008</t>
  </si>
  <si>
    <t>Director</t>
  </si>
  <si>
    <t>31,3,2008</t>
  </si>
  <si>
    <t>AS AT 31.03.2009</t>
  </si>
  <si>
    <t>D. Investment in LIC Gratuity</t>
  </si>
  <si>
    <t>AS AT 31.3.2008</t>
  </si>
  <si>
    <t>31 st March,2009. The statement has been prepared by the Company in accordance with requirement  of</t>
  </si>
  <si>
    <t>Store &amp; Spare</t>
  </si>
  <si>
    <t>PF 7Q Intrest Exps</t>
  </si>
  <si>
    <t>MRS S R SHAH</t>
  </si>
  <si>
    <t>MRS. S R SHAH</t>
  </si>
  <si>
    <t>Cash and Cash Equivalents As At 01.04.2008</t>
  </si>
  <si>
    <t>Cash and Cash Equivalents As At 31.03.2009</t>
  </si>
  <si>
    <t>Dt.   05.06.2009</t>
  </si>
  <si>
    <t>DATE   : 05.06.2009                                                                           PROPRIETOR</t>
  </si>
  <si>
    <t xml:space="preserve">0 More than Six Month Rs.      59744=00 </t>
  </si>
  <si>
    <t xml:space="preserve">0 Within Six Month        Rs.  1627870=00 </t>
  </si>
  <si>
    <t>DATE : 05.06.2009</t>
  </si>
  <si>
    <t>Inter Corporate Deposit</t>
  </si>
  <si>
    <t xml:space="preserve">                   Un Securad Loand Recived</t>
  </si>
  <si>
    <t>BALANCE SHEET AS AT  31 St MARCH-2009</t>
  </si>
  <si>
    <t>PROFIT AND LOSS ACCOUNT FOR THE YEAR ENDED 31,03,2009</t>
  </si>
  <si>
    <t xml:space="preserve">the corresponding Profit and Loss account  and  Balance  Sheet covered  by  our report  of 05.06.2008 to </t>
  </si>
  <si>
    <t>A. CREDITORS FOR GOODS(NEW)</t>
  </si>
  <si>
    <t>B. CREDITORS FOR EXPENSES</t>
  </si>
  <si>
    <t>C. CREDITORS FOR EXPENSES(NEW)</t>
  </si>
  <si>
    <t>D. OTHER LIABILITIES</t>
  </si>
  <si>
    <t>E  CREDITORS FOR CAPITAL WORK</t>
  </si>
  <si>
    <t>F.ADVANCE FROM CUSTOMER &amp; SECURITY DEPOSIT FROM STAFF</t>
  </si>
  <si>
    <t>Less : Closing Stock</t>
  </si>
  <si>
    <t>Add : Purchases during the year</t>
  </si>
  <si>
    <t>01,04,2008</t>
  </si>
  <si>
    <t>31,3,2009</t>
  </si>
  <si>
    <t>2008-2009</t>
  </si>
  <si>
    <t>31.3.2009</t>
  </si>
  <si>
    <t>s</t>
  </si>
  <si>
    <t>31.03.2009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</si>
</sst>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_)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#,##0.0\ _m_k;\-#,##0.0\ _m_k"/>
    <numFmt numFmtId="177" formatCode="#,##0.000\ _m_k;\-#,##0.000\ _m_k"/>
    <numFmt numFmtId="178" formatCode="#,##0.0000\ _m_k;\-#,##0.0000\ _m_k"/>
    <numFmt numFmtId="179" formatCode="0.0"/>
    <numFmt numFmtId="180" formatCode="0.000"/>
    <numFmt numFmtId="181" formatCode="0.0000"/>
    <numFmt numFmtId="182" formatCode="0.00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</numFmts>
  <fonts count="3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u val="single"/>
      <sz val="16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sz val="10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u val="single"/>
      <sz val="10"/>
      <name val="Comic Sans MS"/>
      <family val="4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Comic Sans MS"/>
      <family val="4"/>
    </font>
    <font>
      <b/>
      <sz val="18"/>
      <name val="Comic Sans MS"/>
      <family val="4"/>
    </font>
    <font>
      <b/>
      <sz val="11"/>
      <name val="Comic Sans MS"/>
      <family val="4"/>
    </font>
    <font>
      <b/>
      <sz val="16"/>
      <name val="Arial"/>
      <family val="2"/>
    </font>
    <font>
      <sz val="12"/>
      <name val="Comic Sans MS"/>
      <family val="4"/>
    </font>
    <font>
      <b/>
      <u val="single"/>
      <sz val="8"/>
      <name val="Arial"/>
      <family val="2"/>
    </font>
    <font>
      <sz val="9"/>
      <name val="Comic Sans MS"/>
      <family val="4"/>
    </font>
    <font>
      <sz val="8"/>
      <name val="Arial"/>
      <family val="0"/>
    </font>
    <font>
      <b/>
      <sz val="9"/>
      <name val="Comic Sans MS"/>
      <family val="4"/>
    </font>
    <font>
      <sz val="7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Comic Sans MS"/>
      <family val="4"/>
    </font>
    <font>
      <b/>
      <sz val="9"/>
      <name val="Arial"/>
      <family val="2"/>
    </font>
    <font>
      <sz val="1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4" fontId="12" fillId="0" borderId="1" xfId="15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37" fontId="4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37" fontId="5" fillId="0" borderId="3" xfId="0" applyNumberFormat="1" applyFont="1" applyBorder="1" applyAlignment="1">
      <alignment/>
    </xf>
    <xf numFmtId="39" fontId="0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3" fillId="0" borderId="6" xfId="0" applyFont="1" applyBorder="1" applyAlignment="1" quotePrefix="1">
      <alignment horizontal="center"/>
    </xf>
    <xf numFmtId="0" fontId="10" fillId="0" borderId="7" xfId="0" applyFont="1" applyBorder="1" applyAlignment="1">
      <alignment/>
    </xf>
    <xf numFmtId="0" fontId="13" fillId="0" borderId="0" xfId="0" applyFont="1" applyBorder="1" applyAlignment="1">
      <alignment/>
    </xf>
    <xf numFmtId="37" fontId="10" fillId="0" borderId="7" xfId="0" applyNumberFormat="1" applyFont="1" applyBorder="1" applyAlignment="1">
      <alignment/>
    </xf>
    <xf numFmtId="0" fontId="13" fillId="0" borderId="0" xfId="0" applyFont="1" applyBorder="1" applyAlignment="1" quotePrefix="1">
      <alignment horizontal="center"/>
    </xf>
    <xf numFmtId="0" fontId="10" fillId="0" borderId="8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37" fontId="10" fillId="0" borderId="6" xfId="0" applyNumberFormat="1" applyFont="1" applyBorder="1" applyAlignment="1">
      <alignment/>
    </xf>
    <xf numFmtId="37" fontId="13" fillId="0" borderId="9" xfId="0" applyNumberFormat="1" applyFont="1" applyBorder="1" applyAlignment="1" quotePrefix="1">
      <alignment horizontal="center"/>
    </xf>
    <xf numFmtId="39" fontId="10" fillId="0" borderId="0" xfId="0" applyNumberFormat="1" applyFont="1" applyAlignment="1">
      <alignment/>
    </xf>
    <xf numFmtId="174" fontId="11" fillId="0" borderId="10" xfId="15" applyNumberFormat="1" applyFont="1" applyBorder="1" applyAlignment="1">
      <alignment/>
    </xf>
    <xf numFmtId="0" fontId="0" fillId="0" borderId="11" xfId="0" applyBorder="1" applyAlignment="1">
      <alignment/>
    </xf>
    <xf numFmtId="37" fontId="4" fillId="0" borderId="3" xfId="0" applyNumberFormat="1" applyFont="1" applyBorder="1" applyAlignment="1" quotePrefix="1">
      <alignment horizontal="center"/>
    </xf>
    <xf numFmtId="37" fontId="5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37" fontId="5" fillId="0" borderId="6" xfId="0" applyNumberFormat="1" applyFont="1" applyBorder="1" applyAlignment="1">
      <alignment/>
    </xf>
    <xf numFmtId="37" fontId="4" fillId="0" borderId="0" xfId="0" applyNumberFormat="1" applyFont="1" applyBorder="1" applyAlignment="1" quotePrefix="1">
      <alignment horizontal="left"/>
    </xf>
    <xf numFmtId="37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7" fontId="13" fillId="0" borderId="1" xfId="0" applyNumberFormat="1" applyFont="1" applyBorder="1" applyAlignment="1">
      <alignment/>
    </xf>
    <xf numFmtId="37" fontId="13" fillId="0" borderId="12" xfId="0" applyNumberFormat="1" applyFont="1" applyBorder="1" applyAlignment="1">
      <alignment/>
    </xf>
    <xf numFmtId="37" fontId="13" fillId="0" borderId="13" xfId="0" applyNumberFormat="1" applyFont="1" applyBorder="1" applyAlignment="1">
      <alignment/>
    </xf>
    <xf numFmtId="37" fontId="13" fillId="0" borderId="0" xfId="0" applyNumberFormat="1" applyFont="1" applyBorder="1" applyAlignment="1">
      <alignment/>
    </xf>
    <xf numFmtId="37" fontId="13" fillId="0" borderId="1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37" fontId="10" fillId="0" borderId="14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9" fillId="0" borderId="15" xfId="0" applyFont="1" applyBorder="1" applyAlignment="1">
      <alignment/>
    </xf>
    <xf numFmtId="174" fontId="11" fillId="0" borderId="16" xfId="15" applyNumberFormat="1" applyFont="1" applyBorder="1" applyAlignment="1">
      <alignment/>
    </xf>
    <xf numFmtId="0" fontId="1" fillId="0" borderId="0" xfId="0" applyFont="1" applyBorder="1" applyAlignment="1">
      <alignment/>
    </xf>
    <xf numFmtId="174" fontId="11" fillId="0" borderId="17" xfId="15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3" fillId="0" borderId="20" xfId="0" applyFont="1" applyBorder="1" applyAlignment="1" quotePrefix="1">
      <alignment horizontal="center"/>
    </xf>
    <xf numFmtId="37" fontId="13" fillId="0" borderId="21" xfId="0" applyNumberFormat="1" applyFont="1" applyBorder="1" applyAlignment="1" quotePrefix="1">
      <alignment horizontal="center"/>
    </xf>
    <xf numFmtId="0" fontId="13" fillId="0" borderId="15" xfId="0" applyFont="1" applyBorder="1" applyAlignment="1" quotePrefix="1">
      <alignment horizontal="center"/>
    </xf>
    <xf numFmtId="0" fontId="10" fillId="0" borderId="15" xfId="0" applyFont="1" applyBorder="1" applyAlignment="1">
      <alignment/>
    </xf>
    <xf numFmtId="37" fontId="10" fillId="0" borderId="16" xfId="0" applyNumberFormat="1" applyFont="1" applyBorder="1" applyAlignment="1">
      <alignment/>
    </xf>
    <xf numFmtId="0" fontId="10" fillId="0" borderId="15" xfId="0" applyFont="1" applyBorder="1" applyAlignment="1" quotePrefix="1">
      <alignment horizontal="center"/>
    </xf>
    <xf numFmtId="0" fontId="10" fillId="0" borderId="18" xfId="0" applyFont="1" applyBorder="1" applyAlignment="1">
      <alignment/>
    </xf>
    <xf numFmtId="0" fontId="10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 quotePrefix="1">
      <alignment horizontal="center"/>
    </xf>
    <xf numFmtId="0" fontId="10" fillId="0" borderId="1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3" fillId="0" borderId="26" xfId="0" applyFont="1" applyBorder="1" applyAlignment="1" quotePrefix="1">
      <alignment horizontal="center"/>
    </xf>
    <xf numFmtId="0" fontId="13" fillId="0" borderId="19" xfId="0" applyFont="1" applyBorder="1" applyAlignment="1">
      <alignment/>
    </xf>
    <xf numFmtId="0" fontId="13" fillId="0" borderId="27" xfId="0" applyFont="1" applyBorder="1" applyAlignment="1" quotePrefix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 quotePrefix="1">
      <alignment horizontal="center"/>
    </xf>
    <xf numFmtId="0" fontId="13" fillId="0" borderId="28" xfId="0" applyFont="1" applyBorder="1" applyAlignment="1" quotePrefix="1">
      <alignment horizontal="center"/>
    </xf>
    <xf numFmtId="0" fontId="21" fillId="0" borderId="26" xfId="0" applyFont="1" applyBorder="1" applyAlignment="1">
      <alignment/>
    </xf>
    <xf numFmtId="0" fontId="21" fillId="0" borderId="29" xfId="0" applyFont="1" applyBorder="1" applyAlignment="1">
      <alignment/>
    </xf>
    <xf numFmtId="0" fontId="9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7" fontId="6" fillId="0" borderId="30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37" fontId="1" fillId="0" borderId="32" xfId="0" applyNumberFormat="1" applyFont="1" applyBorder="1" applyAlignment="1">
      <alignment/>
    </xf>
    <xf numFmtId="37" fontId="0" fillId="0" borderId="33" xfId="0" applyNumberFormat="1" applyBorder="1" applyAlignment="1">
      <alignment/>
    </xf>
    <xf numFmtId="0" fontId="5" fillId="0" borderId="15" xfId="0" applyFont="1" applyBorder="1" applyAlignment="1">
      <alignment/>
    </xf>
    <xf numFmtId="37" fontId="0" fillId="0" borderId="27" xfId="0" applyNumberFormat="1" applyBorder="1" applyAlignment="1">
      <alignment/>
    </xf>
    <xf numFmtId="37" fontId="5" fillId="0" borderId="27" xfId="0" applyNumberFormat="1" applyFont="1" applyBorder="1" applyAlignment="1">
      <alignment/>
    </xf>
    <xf numFmtId="0" fontId="0" fillId="0" borderId="18" xfId="0" applyBorder="1" applyAlignment="1">
      <alignment/>
    </xf>
    <xf numFmtId="0" fontId="8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1" xfId="0" applyBorder="1" applyAlignment="1">
      <alignment horizontal="center"/>
    </xf>
    <xf numFmtId="37" fontId="1" fillId="0" borderId="31" xfId="0" applyNumberFormat="1" applyFont="1" applyBorder="1" applyAlignment="1">
      <alignment/>
    </xf>
    <xf numFmtId="0" fontId="8" fillId="0" borderId="37" xfId="0" applyFont="1" applyBorder="1" applyAlignment="1">
      <alignment/>
    </xf>
    <xf numFmtId="0" fontId="0" fillId="0" borderId="19" xfId="0" applyBorder="1" applyAlignment="1">
      <alignment/>
    </xf>
    <xf numFmtId="0" fontId="8" fillId="0" borderId="16" xfId="0" applyFont="1" applyBorder="1" applyAlignment="1">
      <alignment/>
    </xf>
    <xf numFmtId="0" fontId="3" fillId="0" borderId="19" xfId="0" applyFont="1" applyBorder="1" applyAlignment="1">
      <alignment/>
    </xf>
    <xf numFmtId="37" fontId="0" fillId="0" borderId="16" xfId="0" applyNumberForma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3" fillId="0" borderId="19" xfId="0" applyFont="1" applyBorder="1" applyAlignment="1">
      <alignment horizontal="left"/>
    </xf>
    <xf numFmtId="3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19" xfId="0" applyFont="1" applyBorder="1" applyAlignment="1" quotePrefix="1">
      <alignment horizontal="left"/>
    </xf>
    <xf numFmtId="0" fontId="2" fillId="0" borderId="38" xfId="0" applyFont="1" applyBorder="1" applyAlignment="1" quotePrefix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 quotePrefix="1">
      <alignment horizontal="left"/>
    </xf>
    <xf numFmtId="0" fontId="0" fillId="0" borderId="39" xfId="0" applyBorder="1" applyAlignment="1">
      <alignment/>
    </xf>
    <xf numFmtId="0" fontId="11" fillId="0" borderId="6" xfId="0" applyFont="1" applyBorder="1" applyAlignment="1">
      <alignment/>
    </xf>
    <xf numFmtId="174" fontId="11" fillId="0" borderId="6" xfId="15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2" fillId="0" borderId="17" xfId="0" applyFont="1" applyBorder="1" applyAlignment="1" quotePrefix="1">
      <alignment horizontal="center"/>
    </xf>
    <xf numFmtId="37" fontId="5" fillId="0" borderId="10" xfId="0" applyNumberFormat="1" applyFont="1" applyBorder="1" applyAlignment="1">
      <alignment/>
    </xf>
    <xf numFmtId="37" fontId="3" fillId="0" borderId="27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37" fontId="3" fillId="0" borderId="29" xfId="0" applyNumberFormat="1" applyFont="1" applyBorder="1" applyAlignment="1">
      <alignment/>
    </xf>
    <xf numFmtId="0" fontId="0" fillId="0" borderId="5" xfId="0" applyBorder="1" applyAlignment="1">
      <alignment/>
    </xf>
    <xf numFmtId="37" fontId="0" fillId="0" borderId="0" xfId="0" applyNumberFormat="1" applyBorder="1" applyAlignment="1">
      <alignment/>
    </xf>
    <xf numFmtId="37" fontId="5" fillId="0" borderId="9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6" xfId="0" applyFont="1" applyBorder="1" applyAlignment="1" quotePrefix="1">
      <alignment horizontal="center"/>
    </xf>
    <xf numFmtId="37" fontId="3" fillId="0" borderId="40" xfId="0" applyNumberFormat="1" applyFont="1" applyBorder="1" applyAlignment="1">
      <alignment/>
    </xf>
    <xf numFmtId="37" fontId="18" fillId="0" borderId="0" xfId="0" applyNumberFormat="1" applyFont="1" applyBorder="1" applyAlignment="1">
      <alignment/>
    </xf>
    <xf numFmtId="37" fontId="5" fillId="0" borderId="7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3" fillId="0" borderId="0" xfId="0" applyNumberFormat="1" applyFont="1" applyBorder="1" applyAlignment="1">
      <alignment horizontal="left"/>
    </xf>
    <xf numFmtId="37" fontId="3" fillId="0" borderId="41" xfId="0" applyNumberFormat="1" applyFont="1" applyBorder="1" applyAlignment="1">
      <alignment/>
    </xf>
    <xf numFmtId="37" fontId="3" fillId="0" borderId="42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15" applyNumberFormat="1" applyFont="1" applyBorder="1" applyAlignment="1">
      <alignment horizontal="center"/>
    </xf>
    <xf numFmtId="174" fontId="11" fillId="0" borderId="0" xfId="15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9" fillId="0" borderId="6" xfId="0" applyFont="1" applyBorder="1" applyAlignment="1">
      <alignment/>
    </xf>
    <xf numFmtId="0" fontId="11" fillId="0" borderId="6" xfId="0" applyFont="1" applyBorder="1" applyAlignment="1" quotePrefix="1">
      <alignment horizontal="left"/>
    </xf>
    <xf numFmtId="0" fontId="12" fillId="0" borderId="6" xfId="0" applyFont="1" applyBorder="1" applyAlignment="1">
      <alignment/>
    </xf>
    <xf numFmtId="0" fontId="12" fillId="0" borderId="6" xfId="0" applyFont="1" applyBorder="1" applyAlignment="1" quotePrefix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174" fontId="11" fillId="0" borderId="6" xfId="15" applyNumberFormat="1" applyFont="1" applyBorder="1" applyAlignment="1">
      <alignment/>
    </xf>
    <xf numFmtId="174" fontId="12" fillId="0" borderId="6" xfId="15" applyNumberFormat="1" applyFont="1" applyBorder="1" applyAlignment="1">
      <alignment/>
    </xf>
    <xf numFmtId="174" fontId="11" fillId="0" borderId="10" xfId="15" applyNumberFormat="1" applyFont="1" applyBorder="1" applyAlignment="1">
      <alignment horizontal="center"/>
    </xf>
    <xf numFmtId="0" fontId="23" fillId="0" borderId="6" xfId="0" applyFont="1" applyBorder="1" applyAlignment="1" quotePrefix="1">
      <alignment horizontal="left"/>
    </xf>
    <xf numFmtId="0" fontId="10" fillId="0" borderId="6" xfId="0" applyFont="1" applyBorder="1" applyAlignment="1">
      <alignment/>
    </xf>
    <xf numFmtId="174" fontId="12" fillId="0" borderId="6" xfId="15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174" fontId="12" fillId="0" borderId="44" xfId="15" applyNumberFormat="1" applyFont="1" applyBorder="1" applyAlignment="1">
      <alignment/>
    </xf>
    <xf numFmtId="0" fontId="11" fillId="0" borderId="14" xfId="0" applyFont="1" applyBorder="1" applyAlignment="1">
      <alignment/>
    </xf>
    <xf numFmtId="174" fontId="11" fillId="0" borderId="14" xfId="15" applyNumberFormat="1" applyFont="1" applyBorder="1" applyAlignment="1">
      <alignment horizontal="center"/>
    </xf>
    <xf numFmtId="174" fontId="11" fillId="0" borderId="14" xfId="15" applyNumberFormat="1" applyFont="1" applyBorder="1" applyAlignment="1">
      <alignment/>
    </xf>
    <xf numFmtId="174" fontId="11" fillId="0" borderId="39" xfId="15" applyNumberFormat="1" applyFont="1" applyBorder="1" applyAlignment="1">
      <alignment/>
    </xf>
    <xf numFmtId="174" fontId="11" fillId="0" borderId="6" xfId="0" applyNumberFormat="1" applyFont="1" applyBorder="1" applyAlignment="1">
      <alignment/>
    </xf>
    <xf numFmtId="174" fontId="11" fillId="0" borderId="16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45" xfId="0" applyFont="1" applyBorder="1" applyAlignment="1">
      <alignment/>
    </xf>
    <xf numFmtId="174" fontId="11" fillId="0" borderId="45" xfId="15" applyNumberFormat="1" applyFont="1" applyBorder="1" applyAlignment="1">
      <alignment horizontal="center"/>
    </xf>
    <xf numFmtId="174" fontId="11" fillId="0" borderId="45" xfId="15" applyNumberFormat="1" applyFont="1" applyBorder="1" applyAlignment="1">
      <alignment/>
    </xf>
    <xf numFmtId="174" fontId="11" fillId="0" borderId="37" xfId="15" applyNumberFormat="1" applyFont="1" applyBorder="1" applyAlignment="1">
      <alignment/>
    </xf>
    <xf numFmtId="174" fontId="12" fillId="0" borderId="16" xfId="15" applyNumberFormat="1" applyFont="1" applyBorder="1" applyAlignment="1">
      <alignment/>
    </xf>
    <xf numFmtId="174" fontId="11" fillId="0" borderId="28" xfId="15" applyNumberFormat="1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0" fontId="10" fillId="0" borderId="16" xfId="0" applyFont="1" applyBorder="1" applyAlignment="1">
      <alignment/>
    </xf>
    <xf numFmtId="37" fontId="13" fillId="0" borderId="44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13" fillId="0" borderId="22" xfId="0" applyFont="1" applyBorder="1" applyAlignment="1" quotePrefix="1">
      <alignment horizontal="center"/>
    </xf>
    <xf numFmtId="0" fontId="10" fillId="0" borderId="46" xfId="0" applyFont="1" applyBorder="1" applyAlignment="1">
      <alignment/>
    </xf>
    <xf numFmtId="0" fontId="13" fillId="0" borderId="47" xfId="0" applyFont="1" applyBorder="1" applyAlignment="1" quotePrefix="1">
      <alignment horizontal="center"/>
    </xf>
    <xf numFmtId="37" fontId="13" fillId="0" borderId="17" xfId="0" applyNumberFormat="1" applyFont="1" applyBorder="1" applyAlignment="1" quotePrefix="1">
      <alignment horizontal="center"/>
    </xf>
    <xf numFmtId="37" fontId="13" fillId="0" borderId="4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0" fillId="0" borderId="49" xfId="0" applyFont="1" applyBorder="1" applyAlignment="1">
      <alignment/>
    </xf>
    <xf numFmtId="37" fontId="13" fillId="0" borderId="50" xfId="0" applyNumberFormat="1" applyFont="1" applyBorder="1" applyAlignment="1">
      <alignment/>
    </xf>
    <xf numFmtId="37" fontId="12" fillId="0" borderId="36" xfId="0" applyNumberFormat="1" applyFont="1" applyBorder="1" applyAlignment="1" quotePrefix="1">
      <alignment horizontal="center"/>
    </xf>
    <xf numFmtId="37" fontId="13" fillId="0" borderId="37" xfId="0" applyNumberFormat="1" applyFont="1" applyBorder="1" applyAlignment="1">
      <alignment/>
    </xf>
    <xf numFmtId="37" fontId="15" fillId="0" borderId="37" xfId="0" applyNumberFormat="1" applyFont="1" applyBorder="1" applyAlignment="1">
      <alignment/>
    </xf>
    <xf numFmtId="37" fontId="13" fillId="0" borderId="16" xfId="0" applyNumberFormat="1" applyFont="1" applyBorder="1" applyAlignment="1" quotePrefix="1">
      <alignment horizontal="center"/>
    </xf>
    <xf numFmtId="175" fontId="10" fillId="0" borderId="0" xfId="0" applyNumberFormat="1" applyFont="1" applyBorder="1" applyAlignment="1">
      <alignment/>
    </xf>
    <xf numFmtId="175" fontId="10" fillId="0" borderId="22" xfId="0" applyNumberFormat="1" applyFont="1" applyBorder="1" applyAlignment="1">
      <alignment/>
    </xf>
    <xf numFmtId="0" fontId="12" fillId="0" borderId="51" xfId="0" applyFont="1" applyBorder="1" applyAlignment="1">
      <alignment horizontal="center"/>
    </xf>
    <xf numFmtId="0" fontId="12" fillId="0" borderId="51" xfId="0" applyFont="1" applyBorder="1" applyAlignment="1" quotePrefix="1">
      <alignment horizontal="center"/>
    </xf>
    <xf numFmtId="0" fontId="12" fillId="0" borderId="52" xfId="0" applyFont="1" applyBorder="1" applyAlignment="1">
      <alignment horizontal="center"/>
    </xf>
    <xf numFmtId="0" fontId="12" fillId="0" borderId="36" xfId="0" applyFont="1" applyBorder="1" applyAlignment="1" quotePrefix="1">
      <alignment horizontal="center"/>
    </xf>
    <xf numFmtId="0" fontId="12" fillId="0" borderId="31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22" xfId="0" applyFont="1" applyBorder="1" applyAlignment="1" quotePrefix="1">
      <alignment horizontal="left"/>
    </xf>
    <xf numFmtId="37" fontId="13" fillId="0" borderId="37" xfId="0" applyNumberFormat="1" applyFont="1" applyBorder="1" applyAlignment="1" quotePrefix="1">
      <alignment horizontal="center"/>
    </xf>
    <xf numFmtId="0" fontId="13" fillId="0" borderId="16" xfId="0" applyFont="1" applyBorder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left"/>
    </xf>
    <xf numFmtId="37" fontId="3" fillId="0" borderId="33" xfId="0" applyNumberFormat="1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3" xfId="0" applyBorder="1" applyAlignment="1">
      <alignment/>
    </xf>
    <xf numFmtId="0" fontId="16" fillId="0" borderId="24" xfId="0" applyFont="1" applyBorder="1" applyAlignment="1">
      <alignment horizontal="center"/>
    </xf>
    <xf numFmtId="37" fontId="5" fillId="0" borderId="55" xfId="0" applyNumberFormat="1" applyFont="1" applyBorder="1" applyAlignment="1">
      <alignment/>
    </xf>
    <xf numFmtId="0" fontId="0" fillId="0" borderId="20" xfId="0" applyBorder="1" applyAlignment="1">
      <alignment/>
    </xf>
    <xf numFmtId="39" fontId="0" fillId="0" borderId="55" xfId="0" applyNumberFormat="1" applyBorder="1" applyAlignment="1">
      <alignment/>
    </xf>
    <xf numFmtId="0" fontId="2" fillId="0" borderId="15" xfId="0" applyFont="1" applyBorder="1" applyAlignment="1" quotePrefix="1">
      <alignment horizont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0" fillId="0" borderId="27" xfId="0" applyBorder="1" applyAlignment="1">
      <alignment/>
    </xf>
    <xf numFmtId="37" fontId="5" fillId="0" borderId="16" xfId="0" applyNumberFormat="1" applyFont="1" applyBorder="1" applyAlignment="1">
      <alignment/>
    </xf>
    <xf numFmtId="37" fontId="3" fillId="0" borderId="55" xfId="0" applyNumberFormat="1" applyFont="1" applyBorder="1" applyAlignment="1">
      <alignment/>
    </xf>
    <xf numFmtId="37" fontId="3" fillId="0" borderId="56" xfId="0" applyNumberFormat="1" applyFont="1" applyBorder="1" applyAlignment="1">
      <alignment/>
    </xf>
    <xf numFmtId="0" fontId="16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37" fontId="4" fillId="0" borderId="22" xfId="0" applyNumberFormat="1" applyFont="1" applyBorder="1" applyAlignment="1" quotePrefix="1">
      <alignment horizontal="left"/>
    </xf>
    <xf numFmtId="37" fontId="3" fillId="0" borderId="26" xfId="0" applyNumberFormat="1" applyFont="1" applyBorder="1" applyAlignment="1">
      <alignment/>
    </xf>
    <xf numFmtId="37" fontId="5" fillId="0" borderId="35" xfId="0" applyNumberFormat="1" applyFont="1" applyBorder="1" applyAlignment="1">
      <alignment/>
    </xf>
    <xf numFmtId="0" fontId="16" fillId="0" borderId="26" xfId="0" applyFont="1" applyBorder="1" applyAlignment="1">
      <alignment horizontal="center"/>
    </xf>
    <xf numFmtId="0" fontId="17" fillId="0" borderId="0" xfId="0" applyFont="1" applyBorder="1" applyAlignment="1" quotePrefix="1">
      <alignment horizontal="left"/>
    </xf>
    <xf numFmtId="0" fontId="13" fillId="0" borderId="37" xfId="0" applyFont="1" applyBorder="1" applyAlignment="1" quotePrefix="1">
      <alignment horizontal="center"/>
    </xf>
    <xf numFmtId="0" fontId="19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57" xfId="0" applyFont="1" applyBorder="1" applyAlignment="1" quotePrefix="1">
      <alignment horizontal="center"/>
    </xf>
    <xf numFmtId="37" fontId="10" fillId="0" borderId="10" xfId="0" applyNumberFormat="1" applyFont="1" applyBorder="1" applyAlignment="1">
      <alignment/>
    </xf>
    <xf numFmtId="37" fontId="10" fillId="0" borderId="28" xfId="0" applyNumberFormat="1" applyFont="1" applyBorder="1" applyAlignment="1">
      <alignment/>
    </xf>
    <xf numFmtId="37" fontId="13" fillId="0" borderId="43" xfId="0" applyNumberFormat="1" applyFont="1" applyBorder="1" applyAlignment="1">
      <alignment/>
    </xf>
    <xf numFmtId="0" fontId="12" fillId="0" borderId="51" xfId="0" applyFont="1" applyBorder="1" applyAlignment="1" quotePrefix="1">
      <alignment horizontal="left"/>
    </xf>
    <xf numFmtId="37" fontId="10" fillId="0" borderId="16" xfId="0" applyNumberFormat="1" applyFont="1" applyBorder="1" applyAlignment="1" quotePrefix="1">
      <alignment/>
    </xf>
    <xf numFmtId="37" fontId="24" fillId="0" borderId="0" xfId="0" applyNumberFormat="1" applyFont="1" applyBorder="1" applyAlignment="1">
      <alignment/>
    </xf>
    <xf numFmtId="37" fontId="10" fillId="0" borderId="7" xfId="0" applyNumberFormat="1" applyFont="1" applyBorder="1" applyAlignment="1" quotePrefix="1">
      <alignment horizontal="right"/>
    </xf>
    <xf numFmtId="0" fontId="13" fillId="0" borderId="45" xfId="0" applyFont="1" applyBorder="1" applyAlignment="1" quotePrefix="1">
      <alignment horizontal="center"/>
    </xf>
    <xf numFmtId="0" fontId="13" fillId="0" borderId="45" xfId="0" applyFont="1" applyBorder="1" applyAlignment="1">
      <alignment horizontal="center"/>
    </xf>
    <xf numFmtId="0" fontId="25" fillId="0" borderId="0" xfId="0" applyFont="1" applyBorder="1" applyAlignment="1" quotePrefix="1">
      <alignment horizontal="left"/>
    </xf>
    <xf numFmtId="0" fontId="16" fillId="0" borderId="58" xfId="0" applyFont="1" applyBorder="1" applyAlignment="1">
      <alignment horizontal="center"/>
    </xf>
    <xf numFmtId="37" fontId="1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3" fillId="0" borderId="6" xfId="0" applyFont="1" applyBorder="1" applyAlignment="1">
      <alignment horizontal="center"/>
    </xf>
    <xf numFmtId="37" fontId="8" fillId="0" borderId="31" xfId="0" applyNumberFormat="1" applyFont="1" applyBorder="1" applyAlignment="1">
      <alignment/>
    </xf>
    <xf numFmtId="0" fontId="13" fillId="0" borderId="0" xfId="0" applyFont="1" applyAlignment="1" quotePrefix="1">
      <alignment horizontal="left"/>
    </xf>
    <xf numFmtId="37" fontId="10" fillId="0" borderId="16" xfId="0" applyNumberFormat="1" applyFont="1" applyBorder="1" applyAlignment="1" quotePrefix="1">
      <alignment horizontal="right"/>
    </xf>
    <xf numFmtId="37" fontId="10" fillId="0" borderId="16" xfId="0" applyNumberFormat="1" applyFont="1" applyBorder="1" applyAlignment="1">
      <alignment horizontal="right"/>
    </xf>
    <xf numFmtId="0" fontId="10" fillId="0" borderId="6" xfId="0" applyFont="1" applyBorder="1" applyAlignment="1" quotePrefix="1">
      <alignment horizontal="left"/>
    </xf>
    <xf numFmtId="0" fontId="27" fillId="0" borderId="3" xfId="0" applyFont="1" applyBorder="1" applyAlignment="1" quotePrefix="1">
      <alignment horizontal="center"/>
    </xf>
    <xf numFmtId="174" fontId="0" fillId="0" borderId="0" xfId="0" applyNumberFormat="1" applyAlignment="1">
      <alignment/>
    </xf>
    <xf numFmtId="0" fontId="11" fillId="0" borderId="14" xfId="0" applyFont="1" applyBorder="1" applyAlignment="1" quotePrefix="1">
      <alignment horizontal="left"/>
    </xf>
    <xf numFmtId="0" fontId="12" fillId="0" borderId="59" xfId="0" applyFont="1" applyBorder="1" applyAlignment="1" quotePrefix="1">
      <alignment horizontal="center"/>
    </xf>
    <xf numFmtId="0" fontId="12" fillId="2" borderId="48" xfId="0" applyFont="1" applyFill="1" applyBorder="1" applyAlignment="1" quotePrefix="1">
      <alignment horizontal="center"/>
    </xf>
    <xf numFmtId="0" fontId="25" fillId="0" borderId="0" xfId="0" applyFont="1" applyBorder="1" applyAlignment="1">
      <alignment/>
    </xf>
    <xf numFmtId="0" fontId="10" fillId="0" borderId="53" xfId="0" applyFont="1" applyBorder="1" applyAlignment="1">
      <alignment/>
    </xf>
    <xf numFmtId="0" fontId="12" fillId="0" borderId="59" xfId="0" applyFont="1" applyBorder="1" applyAlignment="1">
      <alignment/>
    </xf>
    <xf numFmtId="0" fontId="10" fillId="0" borderId="59" xfId="0" applyFont="1" applyBorder="1" applyAlignment="1">
      <alignment/>
    </xf>
    <xf numFmtId="0" fontId="13" fillId="0" borderId="59" xfId="0" applyFont="1" applyBorder="1" applyAlignment="1">
      <alignment/>
    </xf>
    <xf numFmtId="37" fontId="12" fillId="0" borderId="60" xfId="0" applyNumberFormat="1" applyFont="1" applyBorder="1" applyAlignment="1" quotePrefix="1">
      <alignment horizontal="left"/>
    </xf>
    <xf numFmtId="0" fontId="10" fillId="0" borderId="61" xfId="0" applyFont="1" applyBorder="1" applyAlignment="1">
      <alignment/>
    </xf>
    <xf numFmtId="0" fontId="12" fillId="0" borderId="59" xfId="0" applyFont="1" applyBorder="1" applyAlignment="1" quotePrefix="1">
      <alignment horizontal="left"/>
    </xf>
    <xf numFmtId="0" fontId="10" fillId="0" borderId="60" xfId="0" applyFont="1" applyBorder="1" applyAlignment="1">
      <alignment/>
    </xf>
    <xf numFmtId="37" fontId="12" fillId="0" borderId="60" xfId="0" applyNumberFormat="1" applyFont="1" applyBorder="1" applyAlignment="1">
      <alignment horizontal="left"/>
    </xf>
    <xf numFmtId="0" fontId="27" fillId="0" borderId="43" xfId="0" applyFont="1" applyBorder="1" applyAlignment="1" quotePrefix="1">
      <alignment horizontal="center"/>
    </xf>
    <xf numFmtId="0" fontId="27" fillId="2" borderId="6" xfId="0" applyFont="1" applyFill="1" applyBorder="1" applyAlignment="1" quotePrefix="1">
      <alignment horizontal="center"/>
    </xf>
    <xf numFmtId="0" fontId="28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13" fillId="0" borderId="62" xfId="0" applyFont="1" applyBorder="1" applyAlignment="1">
      <alignment/>
    </xf>
    <xf numFmtId="0" fontId="10" fillId="0" borderId="63" xfId="0" applyFont="1" applyBorder="1" applyAlignment="1">
      <alignment/>
    </xf>
    <xf numFmtId="0" fontId="13" fillId="0" borderId="63" xfId="0" applyFont="1" applyBorder="1" applyAlignment="1">
      <alignment/>
    </xf>
    <xf numFmtId="0" fontId="10" fillId="0" borderId="9" xfId="0" applyFont="1" applyBorder="1" applyAlignment="1">
      <alignment/>
    </xf>
    <xf numFmtId="0" fontId="25" fillId="0" borderId="62" xfId="0" applyFont="1" applyBorder="1" applyAlignment="1">
      <alignment horizontal="left"/>
    </xf>
    <xf numFmtId="0" fontId="31" fillId="0" borderId="6" xfId="0" applyFont="1" applyBorder="1" applyAlignment="1" quotePrefix="1">
      <alignment horizontal="left"/>
    </xf>
    <xf numFmtId="0" fontId="27" fillId="0" borderId="43" xfId="0" applyFont="1" applyBorder="1" applyAlignment="1">
      <alignment horizontal="center"/>
    </xf>
    <xf numFmtId="174" fontId="23" fillId="0" borderId="14" xfId="15" applyNumberFormat="1" applyFont="1" applyBorder="1" applyAlignment="1">
      <alignment/>
    </xf>
    <xf numFmtId="37" fontId="13" fillId="0" borderId="64" xfId="0" applyNumberFormat="1" applyFont="1" applyBorder="1" applyAlignment="1">
      <alignment/>
    </xf>
    <xf numFmtId="37" fontId="13" fillId="0" borderId="65" xfId="0" applyNumberFormat="1" applyFont="1" applyBorder="1" applyAlignment="1">
      <alignment/>
    </xf>
    <xf numFmtId="0" fontId="10" fillId="0" borderId="66" xfId="0" applyFont="1" applyBorder="1" applyAlignment="1">
      <alignment/>
    </xf>
    <xf numFmtId="0" fontId="10" fillId="0" borderId="67" xfId="0" applyFont="1" applyBorder="1" applyAlignment="1">
      <alignment/>
    </xf>
    <xf numFmtId="0" fontId="13" fillId="0" borderId="67" xfId="0" applyFont="1" applyBorder="1" applyAlignment="1">
      <alignment/>
    </xf>
    <xf numFmtId="175" fontId="10" fillId="0" borderId="67" xfId="0" applyNumberFormat="1" applyFont="1" applyBorder="1" applyAlignment="1">
      <alignment/>
    </xf>
    <xf numFmtId="37" fontId="13" fillId="0" borderId="68" xfId="0" applyNumberFormat="1" applyFont="1" applyBorder="1" applyAlignment="1">
      <alignment/>
    </xf>
    <xf numFmtId="0" fontId="23" fillId="0" borderId="6" xfId="0" applyFont="1" applyBorder="1" applyAlignment="1">
      <alignment horizontal="left"/>
    </xf>
    <xf numFmtId="0" fontId="10" fillId="0" borderId="19" xfId="0" applyFont="1" applyBorder="1" applyAlignment="1" quotePrefix="1">
      <alignment horizontal="center"/>
    </xf>
    <xf numFmtId="0" fontId="25" fillId="0" borderId="19" xfId="0" applyFont="1" applyBorder="1" applyAlignment="1" quotePrefix="1">
      <alignment horizontal="left"/>
    </xf>
    <xf numFmtId="0" fontId="25" fillId="0" borderId="19" xfId="0" applyFont="1" applyBorder="1" applyAlignment="1">
      <alignment/>
    </xf>
    <xf numFmtId="0" fontId="10" fillId="0" borderId="19" xfId="0" applyFont="1" applyBorder="1" applyAlignment="1" quotePrefix="1">
      <alignment horizontal="left"/>
    </xf>
    <xf numFmtId="0" fontId="25" fillId="0" borderId="19" xfId="0" applyFont="1" applyBorder="1" applyAlignment="1">
      <alignment horizontal="left"/>
    </xf>
    <xf numFmtId="0" fontId="13" fillId="0" borderId="38" xfId="0" applyFont="1" applyBorder="1" applyAlignment="1">
      <alignment/>
    </xf>
    <xf numFmtId="0" fontId="10" fillId="0" borderId="0" xfId="0" applyFont="1" applyBorder="1" applyAlignment="1">
      <alignment horizontal="center"/>
    </xf>
    <xf numFmtId="37" fontId="13" fillId="0" borderId="16" xfId="0" applyNumberFormat="1" applyFont="1" applyBorder="1" applyAlignment="1">
      <alignment/>
    </xf>
    <xf numFmtId="37" fontId="13" fillId="0" borderId="55" xfId="0" applyNumberFormat="1" applyFont="1" applyBorder="1" applyAlignment="1">
      <alignment/>
    </xf>
    <xf numFmtId="0" fontId="12" fillId="0" borderId="6" xfId="0" applyFont="1" applyBorder="1" applyAlignment="1">
      <alignment horizontal="center"/>
    </xf>
    <xf numFmtId="0" fontId="13" fillId="0" borderId="66" xfId="0" applyFont="1" applyBorder="1" applyAlignment="1">
      <alignment/>
    </xf>
    <xf numFmtId="0" fontId="10" fillId="0" borderId="65" xfId="0" applyFont="1" applyBorder="1" applyAlignment="1">
      <alignment/>
    </xf>
    <xf numFmtId="37" fontId="13" fillId="0" borderId="69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70" xfId="0" applyFont="1" applyBorder="1" applyAlignment="1">
      <alignment/>
    </xf>
    <xf numFmtId="0" fontId="12" fillId="0" borderId="67" xfId="0" applyFont="1" applyBorder="1" applyAlignment="1" quotePrefix="1">
      <alignment horizontal="left"/>
    </xf>
    <xf numFmtId="37" fontId="12" fillId="0" borderId="65" xfId="0" applyNumberFormat="1" applyFont="1" applyBorder="1" applyAlignment="1">
      <alignment horizontal="left"/>
    </xf>
    <xf numFmtId="37" fontId="15" fillId="0" borderId="46" xfId="0" applyNumberFormat="1" applyFont="1" applyBorder="1" applyAlignment="1">
      <alignment/>
    </xf>
    <xf numFmtId="0" fontId="12" fillId="0" borderId="67" xfId="0" applyFont="1" applyBorder="1" applyAlignment="1">
      <alignment/>
    </xf>
    <xf numFmtId="37" fontId="12" fillId="0" borderId="65" xfId="0" applyNumberFormat="1" applyFont="1" applyBorder="1" applyAlignment="1" quotePrefix="1">
      <alignment horizontal="left"/>
    </xf>
    <xf numFmtId="0" fontId="13" fillId="0" borderId="30" xfId="0" applyFont="1" applyBorder="1" applyAlignment="1" quotePrefix="1">
      <alignment horizontal="center"/>
    </xf>
    <xf numFmtId="0" fontId="10" fillId="0" borderId="31" xfId="0" applyFont="1" applyBorder="1" applyAlignment="1">
      <alignment/>
    </xf>
    <xf numFmtId="0" fontId="10" fillId="0" borderId="71" xfId="0" applyFont="1" applyBorder="1" applyAlignment="1">
      <alignment/>
    </xf>
    <xf numFmtId="0" fontId="27" fillId="0" borderId="32" xfId="0" applyFont="1" applyBorder="1" applyAlignment="1" quotePrefix="1">
      <alignment horizontal="center"/>
    </xf>
    <xf numFmtId="0" fontId="13" fillId="0" borderId="18" xfId="0" applyFont="1" applyBorder="1" applyAlignment="1" quotePrefix="1">
      <alignment horizontal="center"/>
    </xf>
    <xf numFmtId="37" fontId="13" fillId="0" borderId="14" xfId="0" applyNumberFormat="1" applyFont="1" applyBorder="1" applyAlignment="1" quotePrefix="1">
      <alignment horizontal="center"/>
    </xf>
    <xf numFmtId="37" fontId="13" fillId="0" borderId="39" xfId="0" applyNumberFormat="1" applyFont="1" applyBorder="1" applyAlignment="1" quotePrefix="1">
      <alignment horizontal="center"/>
    </xf>
    <xf numFmtId="0" fontId="12" fillId="2" borderId="36" xfId="0" applyFont="1" applyFill="1" applyBorder="1" applyAlignment="1" quotePrefix="1">
      <alignment horizontal="center"/>
    </xf>
    <xf numFmtId="37" fontId="12" fillId="0" borderId="66" xfId="0" applyNumberFormat="1" applyFont="1" applyBorder="1" applyAlignment="1" quotePrefix="1">
      <alignment horizontal="center"/>
    </xf>
    <xf numFmtId="0" fontId="12" fillId="0" borderId="67" xfId="0" applyFont="1" applyBorder="1" applyAlignment="1" quotePrefix="1">
      <alignment horizontal="center"/>
    </xf>
    <xf numFmtId="0" fontId="13" fillId="0" borderId="36" xfId="0" applyFont="1" applyBorder="1" applyAlignment="1">
      <alignment horizontal="center"/>
    </xf>
    <xf numFmtId="0" fontId="13" fillId="0" borderId="14" xfId="0" applyFont="1" applyBorder="1" applyAlignment="1" quotePrefix="1">
      <alignment horizontal="center"/>
    </xf>
    <xf numFmtId="0" fontId="13" fillId="0" borderId="72" xfId="0" applyFont="1" applyBorder="1" applyAlignment="1" quotePrefix="1">
      <alignment horizontal="center"/>
    </xf>
    <xf numFmtId="37" fontId="13" fillId="0" borderId="33" xfId="0" applyNumberFormat="1" applyFont="1" applyBorder="1" applyAlignment="1" quotePrefix="1">
      <alignment horizontal="center"/>
    </xf>
    <xf numFmtId="0" fontId="12" fillId="0" borderId="66" xfId="0" applyFont="1" applyBorder="1" applyAlignment="1" quotePrefix="1">
      <alignment horizontal="center"/>
    </xf>
    <xf numFmtId="0" fontId="13" fillId="0" borderId="36" xfId="0" applyFont="1" applyBorder="1" applyAlignment="1" quotePrefix="1">
      <alignment horizontal="center"/>
    </xf>
    <xf numFmtId="0" fontId="13" fillId="0" borderId="38" xfId="0" applyFont="1" applyBorder="1" applyAlignment="1" quotePrefix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67" xfId="0" applyFont="1" applyBorder="1" applyAlignment="1" quotePrefix="1">
      <alignment horizontal="left"/>
    </xf>
    <xf numFmtId="0" fontId="13" fillId="0" borderId="33" xfId="0" applyFont="1" applyBorder="1" applyAlignment="1" quotePrefix="1">
      <alignment horizontal="center"/>
    </xf>
    <xf numFmtId="0" fontId="10" fillId="0" borderId="20" xfId="0" applyFont="1" applyBorder="1" applyAlignment="1">
      <alignment/>
    </xf>
    <xf numFmtId="0" fontId="10" fillId="0" borderId="43" xfId="0" applyFont="1" applyBorder="1" applyAlignment="1" quotePrefix="1">
      <alignment horizontal="center"/>
    </xf>
    <xf numFmtId="0" fontId="10" fillId="0" borderId="43" xfId="0" applyFont="1" applyBorder="1" applyAlignment="1">
      <alignment/>
    </xf>
    <xf numFmtId="0" fontId="10" fillId="0" borderId="55" xfId="0" applyFont="1" applyBorder="1" applyAlignment="1">
      <alignment/>
    </xf>
    <xf numFmtId="0" fontId="13" fillId="0" borderId="69" xfId="0" applyFont="1" applyBorder="1" applyAlignment="1" quotePrefix="1">
      <alignment horizontal="center"/>
    </xf>
    <xf numFmtId="0" fontId="21" fillId="0" borderId="69" xfId="0" applyFont="1" applyBorder="1" applyAlignment="1">
      <alignment/>
    </xf>
    <xf numFmtId="0" fontId="21" fillId="0" borderId="13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10" xfId="0" applyFont="1" applyBorder="1" applyAlignment="1" quotePrefix="1">
      <alignment horizontal="center"/>
    </xf>
    <xf numFmtId="0" fontId="10" fillId="0" borderId="10" xfId="0" applyFont="1" applyBorder="1" applyAlignment="1">
      <alignment/>
    </xf>
    <xf numFmtId="0" fontId="10" fillId="0" borderId="28" xfId="0" applyFont="1" applyBorder="1" applyAlignment="1">
      <alignment/>
    </xf>
    <xf numFmtId="0" fontId="13" fillId="0" borderId="14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17" fillId="0" borderId="69" xfId="0" applyFont="1" applyBorder="1" applyAlignment="1">
      <alignment/>
    </xf>
    <xf numFmtId="2" fontId="17" fillId="0" borderId="69" xfId="0" applyNumberFormat="1" applyFont="1" applyBorder="1" applyAlignment="1">
      <alignment/>
    </xf>
    <xf numFmtId="2" fontId="0" fillId="0" borderId="43" xfId="0" applyNumberFormat="1" applyBorder="1" applyAlignment="1">
      <alignment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0" fontId="0" fillId="0" borderId="43" xfId="0" applyBorder="1" applyAlignment="1">
      <alignment horizontal="center"/>
    </xf>
    <xf numFmtId="2" fontId="0" fillId="0" borderId="10" xfId="0" applyNumberFormat="1" applyBorder="1" applyAlignment="1">
      <alignment/>
    </xf>
    <xf numFmtId="0" fontId="17" fillId="0" borderId="1" xfId="0" applyFont="1" applyBorder="1" applyAlignment="1">
      <alignment horizontal="center"/>
    </xf>
    <xf numFmtId="0" fontId="0" fillId="0" borderId="31" xfId="0" applyBorder="1" applyAlignment="1">
      <alignment/>
    </xf>
    <xf numFmtId="0" fontId="26" fillId="0" borderId="0" xfId="0" applyFont="1" applyBorder="1" applyAlignment="1">
      <alignment/>
    </xf>
    <xf numFmtId="0" fontId="10" fillId="0" borderId="14" xfId="0" applyFont="1" applyBorder="1" applyAlignment="1" quotePrefix="1">
      <alignment horizontal="left"/>
    </xf>
    <xf numFmtId="0" fontId="0" fillId="0" borderId="38" xfId="0" applyBorder="1" applyAlignment="1">
      <alignment/>
    </xf>
    <xf numFmtId="39" fontId="1" fillId="0" borderId="16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4" fontId="11" fillId="0" borderId="27" xfId="15" applyNumberFormat="1" applyFont="1" applyBorder="1" applyAlignment="1">
      <alignment/>
    </xf>
    <xf numFmtId="0" fontId="1" fillId="0" borderId="27" xfId="0" applyFont="1" applyBorder="1" applyAlignment="1">
      <alignment/>
    </xf>
    <xf numFmtId="174" fontId="12" fillId="0" borderId="27" xfId="15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8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2" fillId="0" borderId="28" xfId="0" applyFont="1" applyBorder="1" applyAlignment="1" quotePrefix="1">
      <alignment horizontal="center"/>
    </xf>
    <xf numFmtId="0" fontId="17" fillId="0" borderId="24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47" xfId="0" applyBorder="1" applyAlignment="1">
      <alignment/>
    </xf>
    <xf numFmtId="2" fontId="17" fillId="0" borderId="28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12" xfId="0" applyBorder="1" applyAlignment="1">
      <alignment/>
    </xf>
    <xf numFmtId="2" fontId="17" fillId="0" borderId="13" xfId="0" applyNumberFormat="1" applyFont="1" applyBorder="1" applyAlignment="1">
      <alignment/>
    </xf>
    <xf numFmtId="0" fontId="17" fillId="0" borderId="47" xfId="0" applyFont="1" applyBorder="1" applyAlignment="1">
      <alignment/>
    </xf>
    <xf numFmtId="0" fontId="0" fillId="0" borderId="28" xfId="0" applyBorder="1" applyAlignment="1">
      <alignment/>
    </xf>
    <xf numFmtId="0" fontId="0" fillId="0" borderId="55" xfId="0" applyBorder="1" applyAlignment="1">
      <alignment horizontal="center"/>
    </xf>
    <xf numFmtId="2" fontId="0" fillId="0" borderId="55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174" fontId="33" fillId="0" borderId="0" xfId="0" applyNumberFormat="1" applyFont="1" applyAlignment="1">
      <alignment/>
    </xf>
    <xf numFmtId="37" fontId="34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2" fillId="0" borderId="32" xfId="0" applyFont="1" applyBorder="1" applyAlignment="1" quotePrefix="1">
      <alignment horizontal="center"/>
    </xf>
    <xf numFmtId="0" fontId="12" fillId="0" borderId="71" xfId="0" applyFont="1" applyBorder="1" applyAlignment="1" quotePrefix="1">
      <alignment horizontal="center"/>
    </xf>
    <xf numFmtId="0" fontId="19" fillId="2" borderId="36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12" fillId="2" borderId="73" xfId="0" applyFont="1" applyFill="1" applyBorder="1" applyAlignment="1">
      <alignment horizontal="center"/>
    </xf>
    <xf numFmtId="0" fontId="12" fillId="2" borderId="74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2" fillId="0" borderId="4" xfId="0" applyFont="1" applyBorder="1" applyAlignment="1" quotePrefix="1">
      <alignment horizontal="center"/>
    </xf>
    <xf numFmtId="0" fontId="12" fillId="0" borderId="8" xfId="0" applyFont="1" applyBorder="1" applyAlignment="1" quotePrefix="1">
      <alignment horizontal="center"/>
    </xf>
    <xf numFmtId="0" fontId="12" fillId="2" borderId="76" xfId="0" applyFont="1" applyFill="1" applyBorder="1" applyAlignment="1" quotePrefix="1">
      <alignment horizontal="center"/>
    </xf>
    <xf numFmtId="0" fontId="12" fillId="2" borderId="77" xfId="0" applyFont="1" applyFill="1" applyBorder="1" applyAlignment="1">
      <alignment horizontal="center"/>
    </xf>
    <xf numFmtId="0" fontId="12" fillId="2" borderId="78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14" fillId="0" borderId="63" xfId="0" applyFont="1" applyBorder="1" applyAlignment="1" quotePrefix="1">
      <alignment horizontal="center"/>
    </xf>
    <xf numFmtId="0" fontId="14" fillId="0" borderId="9" xfId="0" applyFont="1" applyBorder="1" applyAlignment="1" quotePrefix="1">
      <alignment horizontal="center"/>
    </xf>
    <xf numFmtId="0" fontId="12" fillId="0" borderId="59" xfId="0" applyFont="1" applyBorder="1" applyAlignment="1" quotePrefix="1">
      <alignment horizontal="center"/>
    </xf>
    <xf numFmtId="0" fontId="12" fillId="0" borderId="79" xfId="0" applyFont="1" applyBorder="1" applyAlignment="1" quotePrefix="1">
      <alignment horizontal="center"/>
    </xf>
    <xf numFmtId="0" fontId="13" fillId="0" borderId="62" xfId="0" applyFont="1" applyBorder="1" applyAlignment="1" quotePrefix="1">
      <alignment horizontal="center"/>
    </xf>
    <xf numFmtId="0" fontId="13" fillId="0" borderId="63" xfId="0" applyFont="1" applyBorder="1" applyAlignment="1" quotePrefix="1">
      <alignment horizontal="center"/>
    </xf>
    <xf numFmtId="0" fontId="13" fillId="0" borderId="9" xfId="0" applyFont="1" applyBorder="1" applyAlignment="1" quotePrefix="1">
      <alignment horizontal="center"/>
    </xf>
    <xf numFmtId="37" fontId="12" fillId="2" borderId="76" xfId="0" applyNumberFormat="1" applyFont="1" applyFill="1" applyBorder="1" applyAlignment="1" quotePrefix="1">
      <alignment horizontal="center"/>
    </xf>
    <xf numFmtId="37" fontId="12" fillId="2" borderId="77" xfId="0" applyNumberFormat="1" applyFont="1" applyFill="1" applyBorder="1" applyAlignment="1" quotePrefix="1">
      <alignment horizontal="center"/>
    </xf>
    <xf numFmtId="37" fontId="12" fillId="2" borderId="78" xfId="0" applyNumberFormat="1" applyFont="1" applyFill="1" applyBorder="1" applyAlignment="1" quotePrefix="1">
      <alignment horizontal="center"/>
    </xf>
    <xf numFmtId="0" fontId="12" fillId="0" borderId="61" xfId="0" applyFont="1" applyBorder="1" applyAlignment="1" quotePrefix="1">
      <alignment horizontal="left"/>
    </xf>
    <xf numFmtId="0" fontId="12" fillId="0" borderId="59" xfId="0" applyFont="1" applyBorder="1" applyAlignment="1">
      <alignment/>
    </xf>
    <xf numFmtId="0" fontId="12" fillId="0" borderId="79" xfId="0" applyFont="1" applyBorder="1" applyAlignment="1">
      <alignment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66" xfId="0" applyFont="1" applyBorder="1" applyAlignment="1" quotePrefix="1">
      <alignment horizontal="center"/>
    </xf>
    <xf numFmtId="0" fontId="20" fillId="0" borderId="67" xfId="0" applyFont="1" applyBorder="1" applyAlignment="1" quotePrefix="1">
      <alignment horizontal="center"/>
    </xf>
    <xf numFmtId="0" fontId="20" fillId="0" borderId="46" xfId="0" applyFont="1" applyBorder="1" applyAlignment="1" quotePrefix="1">
      <alignment horizontal="center"/>
    </xf>
    <xf numFmtId="0" fontId="10" fillId="0" borderId="6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6" fillId="0" borderId="2" xfId="0" applyFont="1" applyBorder="1" applyAlignment="1" quotePrefix="1">
      <alignment horizontal="center"/>
    </xf>
    <xf numFmtId="0" fontId="16" fillId="0" borderId="11" xfId="0" applyFont="1" applyBorder="1" applyAlignment="1" quotePrefix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80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51" xfId="0" applyFont="1" applyFill="1" applyBorder="1" applyAlignment="1" quotePrefix="1">
      <alignment horizontal="center"/>
    </xf>
    <xf numFmtId="0" fontId="8" fillId="2" borderId="52" xfId="0" applyFont="1" applyFill="1" applyBorder="1" applyAlignment="1" quotePrefix="1">
      <alignment horizontal="center"/>
    </xf>
    <xf numFmtId="0" fontId="16" fillId="0" borderId="54" xfId="0" applyFont="1" applyBorder="1" applyAlignment="1" quotePrefix="1">
      <alignment horizontal="center"/>
    </xf>
    <xf numFmtId="0" fontId="16" fillId="0" borderId="60" xfId="0" applyFont="1" applyBorder="1" applyAlignment="1" quotePrefix="1">
      <alignment horizontal="center"/>
    </xf>
    <xf numFmtId="0" fontId="19" fillId="0" borderId="73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2" fillId="0" borderId="58" xfId="0" applyFont="1" applyBorder="1" applyAlignment="1" quotePrefix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2" fillId="0" borderId="58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13" fillId="0" borderId="35" xfId="0" applyFont="1" applyBorder="1" applyAlignment="1" quotePrefix="1">
      <alignment horizontal="center"/>
    </xf>
    <xf numFmtId="0" fontId="13" fillId="0" borderId="22" xfId="0" applyFont="1" applyBorder="1" applyAlignment="1" quotePrefix="1">
      <alignment horizontal="center"/>
    </xf>
    <xf numFmtId="0" fontId="13" fillId="0" borderId="41" xfId="0" applyFont="1" applyBorder="1" applyAlignment="1" quotePrefix="1">
      <alignment horizontal="center"/>
    </xf>
    <xf numFmtId="0" fontId="12" fillId="2" borderId="66" xfId="0" applyFont="1" applyFill="1" applyBorder="1" applyAlignment="1" quotePrefix="1">
      <alignment horizontal="center"/>
    </xf>
    <xf numFmtId="0" fontId="12" fillId="2" borderId="67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2" fillId="0" borderId="66" xfId="0" applyFont="1" applyBorder="1" applyAlignment="1" quotePrefix="1">
      <alignment horizontal="left"/>
    </xf>
    <xf numFmtId="0" fontId="12" fillId="0" borderId="67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67" xfId="0" applyFont="1" applyBorder="1" applyAlignment="1" quotePrefix="1">
      <alignment horizontal="center"/>
    </xf>
    <xf numFmtId="0" fontId="12" fillId="0" borderId="46" xfId="0" applyFont="1" applyBorder="1" applyAlignment="1" quotePrefix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36" xfId="0" applyFont="1" applyFill="1" applyBorder="1" applyAlignment="1" quotePrefix="1">
      <alignment horizontal="center"/>
    </xf>
    <xf numFmtId="0" fontId="14" fillId="0" borderId="22" xfId="0" applyFont="1" applyBorder="1" applyAlignment="1" quotePrefix="1">
      <alignment horizontal="center"/>
    </xf>
    <xf numFmtId="0" fontId="14" fillId="0" borderId="41" xfId="0" applyFont="1" applyBorder="1" applyAlignment="1" quotePrefix="1">
      <alignment horizontal="center"/>
    </xf>
    <xf numFmtId="0" fontId="12" fillId="0" borderId="66" xfId="0" applyFont="1" applyBorder="1" applyAlignment="1" quotePrefix="1">
      <alignment horizontal="center"/>
    </xf>
    <xf numFmtId="0" fontId="13" fillId="0" borderId="38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C59">
      <selection activeCell="A1" sqref="A1:F38"/>
    </sheetView>
  </sheetViews>
  <sheetFormatPr defaultColWidth="9.140625" defaultRowHeight="12.75"/>
  <cols>
    <col min="1" max="1" width="5.00390625" style="0" customWidth="1"/>
    <col min="2" max="2" width="42.57421875" style="0" customWidth="1"/>
    <col min="3" max="3" width="9.8515625" style="0" customWidth="1"/>
    <col min="4" max="4" width="18.57421875" style="0" customWidth="1"/>
    <col min="5" max="5" width="22.140625" style="0" customWidth="1"/>
    <col min="6" max="6" width="21.7109375" style="0" customWidth="1"/>
    <col min="7" max="7" width="0" style="0" hidden="1" customWidth="1"/>
    <col min="9" max="9" width="13.421875" style="0" bestFit="1" customWidth="1"/>
  </cols>
  <sheetData>
    <row r="1" spans="1:6" ht="25.5" customHeight="1">
      <c r="A1" s="422" t="s">
        <v>92</v>
      </c>
      <c r="B1" s="423"/>
      <c r="C1" s="423"/>
      <c r="D1" s="423"/>
      <c r="E1" s="423"/>
      <c r="F1" s="424"/>
    </row>
    <row r="2" spans="1:6" ht="25.5" customHeight="1">
      <c r="A2" s="425" t="s">
        <v>232</v>
      </c>
      <c r="B2" s="426"/>
      <c r="C2" s="426"/>
      <c r="D2" s="426"/>
      <c r="E2" s="426"/>
      <c r="F2" s="427"/>
    </row>
    <row r="3" spans="1:6" ht="25.5" customHeight="1">
      <c r="A3" s="428"/>
      <c r="B3" s="429"/>
      <c r="C3" s="430"/>
      <c r="D3" s="431" t="s">
        <v>235</v>
      </c>
      <c r="E3" s="432"/>
      <c r="F3" s="209"/>
    </row>
    <row r="4" spans="1:6" ht="25.5" customHeight="1">
      <c r="A4" s="186"/>
      <c r="B4" s="187" t="s">
        <v>5</v>
      </c>
      <c r="C4" s="188" t="s">
        <v>99</v>
      </c>
      <c r="D4" s="188" t="s">
        <v>2</v>
      </c>
      <c r="E4" s="189" t="s">
        <v>2</v>
      </c>
      <c r="F4" s="121"/>
    </row>
    <row r="5" spans="1:6" ht="25.5" customHeight="1">
      <c r="A5" s="56" t="s">
        <v>0</v>
      </c>
      <c r="B5" s="145" t="s">
        <v>137</v>
      </c>
      <c r="C5" s="145"/>
      <c r="D5" s="117"/>
      <c r="E5" s="117"/>
      <c r="F5" s="159"/>
    </row>
    <row r="6" spans="1:6" ht="25.5" customHeight="1">
      <c r="A6" s="56"/>
      <c r="B6" s="117" t="s">
        <v>231</v>
      </c>
      <c r="C6" s="117"/>
      <c r="D6" s="118">
        <f>2123760-1172880</f>
        <v>950880</v>
      </c>
      <c r="E6" s="152"/>
      <c r="F6" s="57"/>
    </row>
    <row r="7" spans="1:6" ht="25.5" customHeight="1">
      <c r="A7" s="56"/>
      <c r="B7" s="117" t="s">
        <v>214</v>
      </c>
      <c r="C7" s="117"/>
      <c r="D7" s="118">
        <v>1172880</v>
      </c>
      <c r="E7" s="152"/>
      <c r="F7" s="57"/>
    </row>
    <row r="8" spans="1:6" ht="25.5" customHeight="1">
      <c r="A8" s="56"/>
      <c r="B8" s="155" t="s">
        <v>172</v>
      </c>
      <c r="C8" s="149"/>
      <c r="D8" s="118">
        <v>120075</v>
      </c>
      <c r="E8" s="152"/>
      <c r="F8" s="57"/>
    </row>
    <row r="9" spans="1:6" ht="25.5" customHeight="1">
      <c r="A9" s="56"/>
      <c r="B9" s="117" t="s">
        <v>1</v>
      </c>
      <c r="C9" s="117"/>
      <c r="D9" s="118">
        <v>70240</v>
      </c>
      <c r="E9" s="152"/>
      <c r="F9" s="57"/>
    </row>
    <row r="10" spans="1:6" ht="25.5" customHeight="1">
      <c r="A10" s="56"/>
      <c r="B10" s="146" t="s">
        <v>196</v>
      </c>
      <c r="C10" s="117"/>
      <c r="D10" s="118">
        <v>0</v>
      </c>
      <c r="E10" s="152"/>
      <c r="F10" s="57"/>
    </row>
    <row r="11" spans="1:6" ht="25.5" customHeight="1">
      <c r="A11" s="56"/>
      <c r="B11" s="117" t="s">
        <v>195</v>
      </c>
      <c r="C11" s="117"/>
      <c r="D11" s="154">
        <v>0</v>
      </c>
      <c r="E11" s="152"/>
      <c r="F11" s="175"/>
    </row>
    <row r="12" spans="1:6" ht="25.5" customHeight="1">
      <c r="A12" s="160"/>
      <c r="B12" s="117"/>
      <c r="C12" s="117"/>
      <c r="D12" s="151"/>
      <c r="E12" s="152">
        <f>SUM(D6:D11)</f>
        <v>2314075</v>
      </c>
      <c r="F12" s="57"/>
    </row>
    <row r="13" spans="1:6" ht="25.5" customHeight="1">
      <c r="A13" s="56" t="s">
        <v>3</v>
      </c>
      <c r="B13" s="145" t="s">
        <v>138</v>
      </c>
      <c r="C13" s="145"/>
      <c r="D13" s="117"/>
      <c r="E13" s="117"/>
      <c r="F13" s="159"/>
    </row>
    <row r="14" spans="1:9" ht="25.5" customHeight="1">
      <c r="A14" s="160"/>
      <c r="B14" s="288" t="s">
        <v>233</v>
      </c>
      <c r="C14" s="150">
        <v>7</v>
      </c>
      <c r="D14" s="118">
        <v>561204</v>
      </c>
      <c r="E14" s="152"/>
      <c r="F14" s="57"/>
      <c r="H14" s="280"/>
      <c r="I14" s="263"/>
    </row>
    <row r="15" spans="1:6" ht="25.5" customHeight="1">
      <c r="A15" s="160"/>
      <c r="B15" s="146" t="s">
        <v>199</v>
      </c>
      <c r="C15" s="150">
        <v>8</v>
      </c>
      <c r="D15" s="118">
        <v>969923</v>
      </c>
      <c r="E15" s="152"/>
      <c r="F15" s="57"/>
    </row>
    <row r="16" spans="1:6" ht="25.5" customHeight="1">
      <c r="A16" s="160"/>
      <c r="B16" s="149" t="s">
        <v>200</v>
      </c>
      <c r="C16" s="150"/>
      <c r="D16" s="118"/>
      <c r="E16" s="152"/>
      <c r="F16" s="57"/>
    </row>
    <row r="17" spans="1:6" ht="25.5" customHeight="1">
      <c r="A17" s="160"/>
      <c r="B17" s="146" t="s">
        <v>112</v>
      </c>
      <c r="C17" s="150">
        <v>9</v>
      </c>
      <c r="D17" s="118">
        <v>260273</v>
      </c>
      <c r="E17" s="152"/>
      <c r="F17" s="57"/>
    </row>
    <row r="18" spans="1:6" ht="25.5" customHeight="1">
      <c r="A18" s="160"/>
      <c r="B18" s="146" t="s">
        <v>113</v>
      </c>
      <c r="C18" s="150">
        <v>10</v>
      </c>
      <c r="D18" s="118">
        <v>125259</v>
      </c>
      <c r="E18" s="152"/>
      <c r="F18" s="57"/>
    </row>
    <row r="19" spans="1:6" ht="25.5" customHeight="1">
      <c r="A19" s="160"/>
      <c r="B19" s="146" t="s">
        <v>114</v>
      </c>
      <c r="C19" s="150">
        <v>11</v>
      </c>
      <c r="D19" s="118">
        <v>791</v>
      </c>
      <c r="E19" s="152"/>
      <c r="F19" s="57"/>
    </row>
    <row r="20" spans="1:6" ht="25.5" customHeight="1">
      <c r="A20" s="160"/>
      <c r="B20" s="146" t="s">
        <v>165</v>
      </c>
      <c r="C20" s="150">
        <v>12</v>
      </c>
      <c r="D20" s="118">
        <v>36008</v>
      </c>
      <c r="E20" s="152"/>
      <c r="F20" s="57"/>
    </row>
    <row r="21" spans="1:6" ht="25.5" customHeight="1">
      <c r="A21" s="160"/>
      <c r="B21" s="117"/>
      <c r="C21" s="117"/>
      <c r="D21" s="118" t="s">
        <v>6</v>
      </c>
      <c r="E21" s="152">
        <f>SUM(D14:D20)</f>
        <v>1953458</v>
      </c>
      <c r="F21" s="57"/>
    </row>
    <row r="22" spans="1:6" ht="25.5" customHeight="1">
      <c r="A22" s="161" t="s">
        <v>94</v>
      </c>
      <c r="B22" s="147" t="s">
        <v>139</v>
      </c>
      <c r="C22" s="117"/>
      <c r="D22" s="118" t="s">
        <v>6</v>
      </c>
      <c r="E22" s="152"/>
      <c r="F22" s="57"/>
    </row>
    <row r="23" spans="1:6" ht="25.5" customHeight="1">
      <c r="A23" s="160"/>
      <c r="B23" s="117" t="s">
        <v>4</v>
      </c>
      <c r="C23" s="117"/>
      <c r="D23" s="118">
        <v>1410.5833333333333</v>
      </c>
      <c r="E23" s="152"/>
      <c r="F23" s="57"/>
    </row>
    <row r="24" spans="1:6" ht="25.5" customHeight="1">
      <c r="A24" s="160"/>
      <c r="B24" s="117" t="s">
        <v>187</v>
      </c>
      <c r="C24" s="117"/>
      <c r="D24" s="118">
        <f>449776/12</f>
        <v>37481.333333333336</v>
      </c>
      <c r="E24" s="152"/>
      <c r="F24" s="57"/>
    </row>
    <row r="25" spans="1:6" ht="25.5" customHeight="1">
      <c r="A25" s="160"/>
      <c r="B25" s="117"/>
      <c r="C25" s="117"/>
      <c r="D25" s="118"/>
      <c r="E25" s="30">
        <f>SUM(D23:D24)</f>
        <v>38891.91666666667</v>
      </c>
      <c r="F25" s="59"/>
    </row>
    <row r="26" spans="1:7" ht="25.5" customHeight="1">
      <c r="A26" s="160"/>
      <c r="B26" s="147" t="s">
        <v>7</v>
      </c>
      <c r="C26" s="147"/>
      <c r="D26" s="118"/>
      <c r="E26" s="7">
        <f>SUM(E21:E25)</f>
        <v>1992349.9166666667</v>
      </c>
      <c r="F26" s="162"/>
      <c r="G26" s="31"/>
    </row>
    <row r="27" spans="1:6" ht="25.5" customHeight="1">
      <c r="A27" s="160"/>
      <c r="B27" s="146" t="s">
        <v>140</v>
      </c>
      <c r="C27" s="117"/>
      <c r="D27" s="118"/>
      <c r="E27" s="152"/>
      <c r="F27" s="57"/>
    </row>
    <row r="28" spans="1:6" ht="25.5" customHeight="1">
      <c r="A28" s="160"/>
      <c r="B28" s="117" t="s">
        <v>8</v>
      </c>
      <c r="C28" s="117"/>
      <c r="D28" s="118"/>
      <c r="E28" s="57">
        <f>SUM(E12-E26)</f>
        <v>321725.08333333326</v>
      </c>
      <c r="F28" s="57"/>
    </row>
    <row r="29" spans="1:6" ht="25.5" customHeight="1">
      <c r="A29" s="160"/>
      <c r="B29" s="117" t="s">
        <v>9</v>
      </c>
      <c r="C29" s="117"/>
      <c r="D29" s="118"/>
      <c r="E29" s="30">
        <v>0</v>
      </c>
      <c r="F29" s="59"/>
    </row>
    <row r="30" spans="1:6" ht="25.5" customHeight="1">
      <c r="A30" s="160"/>
      <c r="B30" s="155" t="s">
        <v>141</v>
      </c>
      <c r="C30" s="117"/>
      <c r="D30" s="118"/>
      <c r="E30" s="152">
        <f>SUM(E28+E29)</f>
        <v>321725.08333333326</v>
      </c>
      <c r="F30" s="57"/>
    </row>
    <row r="31" spans="1:6" ht="25.5" customHeight="1">
      <c r="A31" s="160"/>
      <c r="B31" s="117" t="s">
        <v>10</v>
      </c>
      <c r="C31" s="117"/>
      <c r="D31" s="118"/>
      <c r="E31" s="30">
        <v>0</v>
      </c>
      <c r="F31" s="59"/>
    </row>
    <row r="32" spans="1:6" ht="25.5" customHeight="1">
      <c r="A32" s="160"/>
      <c r="B32" s="146" t="s">
        <v>142</v>
      </c>
      <c r="C32" s="117"/>
      <c r="D32" s="118"/>
      <c r="E32" s="152">
        <f>SUM(E30-E31)</f>
        <v>321725.08333333326</v>
      </c>
      <c r="F32" s="57"/>
    </row>
    <row r="33" spans="1:6" ht="25.5" customHeight="1">
      <c r="A33" s="160"/>
      <c r="B33" s="156" t="s">
        <v>143</v>
      </c>
      <c r="C33" s="117"/>
      <c r="D33" s="118"/>
      <c r="E33" s="152">
        <f>SUM(E32:E32)</f>
        <v>321725.08333333326</v>
      </c>
      <c r="F33" s="57"/>
    </row>
    <row r="34" spans="1:6" ht="25.5" customHeight="1">
      <c r="A34" s="160"/>
      <c r="B34" s="146" t="s">
        <v>166</v>
      </c>
      <c r="C34" s="117"/>
      <c r="D34" s="118"/>
      <c r="E34" s="167">
        <f>E33</f>
        <v>321725.08333333326</v>
      </c>
      <c r="F34" s="168"/>
    </row>
    <row r="35" spans="1:6" ht="25.5" customHeight="1">
      <c r="A35" s="160"/>
      <c r="B35" s="117" t="s">
        <v>11</v>
      </c>
      <c r="C35" s="117"/>
      <c r="D35" s="118"/>
      <c r="E35" s="152"/>
      <c r="F35" s="57"/>
    </row>
    <row r="36" spans="1:6" ht="19.5" customHeight="1">
      <c r="A36" s="160"/>
      <c r="B36" s="156" t="s">
        <v>188</v>
      </c>
      <c r="C36" s="117"/>
      <c r="D36" s="118"/>
      <c r="E36" s="152"/>
      <c r="F36" s="57"/>
    </row>
    <row r="37" spans="1:6" ht="19.5" customHeight="1">
      <c r="A37" s="160"/>
      <c r="B37" s="261" t="s">
        <v>189</v>
      </c>
      <c r="C37" s="117"/>
      <c r="D37" s="118"/>
      <c r="E37" s="152">
        <f>326893/12</f>
        <v>27241.083333333332</v>
      </c>
      <c r="F37" s="57"/>
    </row>
    <row r="38" spans="1:9" ht="25.5" customHeight="1" thickBot="1">
      <c r="A38" s="60"/>
      <c r="B38" s="264" t="s">
        <v>166</v>
      </c>
      <c r="C38" s="163"/>
      <c r="D38" s="164"/>
      <c r="E38" s="166">
        <f>SUM(E34:E37)</f>
        <v>348966.16666666657</v>
      </c>
      <c r="F38" s="166"/>
      <c r="I38" t="s">
        <v>6</v>
      </c>
    </row>
    <row r="39" spans="1:6" ht="25.5" customHeight="1" hidden="1">
      <c r="A39" s="140"/>
      <c r="B39" s="140"/>
      <c r="C39" s="140"/>
      <c r="D39" s="141"/>
      <c r="E39" s="142"/>
      <c r="F39" s="142" t="s">
        <v>146</v>
      </c>
    </row>
    <row r="40" spans="1:6" ht="25.5" customHeight="1" hidden="1">
      <c r="A40" s="416" t="s">
        <v>147</v>
      </c>
      <c r="B40" s="416"/>
      <c r="C40" s="416"/>
      <c r="D40" s="416"/>
      <c r="E40" s="416"/>
      <c r="F40" s="416"/>
    </row>
    <row r="41" spans="1:6" ht="25.5" customHeight="1" hidden="1" thickBot="1">
      <c r="A41" s="210"/>
      <c r="B41" s="210"/>
      <c r="C41" s="210"/>
      <c r="D41" s="210"/>
      <c r="E41" s="210"/>
      <c r="F41" s="210"/>
    </row>
    <row r="42" spans="1:6" ht="25.5" customHeight="1" hidden="1">
      <c r="A42" s="417"/>
      <c r="B42" s="418"/>
      <c r="C42" s="419"/>
      <c r="D42" s="420" t="s">
        <v>215</v>
      </c>
      <c r="E42" s="421"/>
      <c r="F42" s="237"/>
    </row>
    <row r="43" spans="1:6" ht="25.5" customHeight="1" hidden="1" thickBot="1">
      <c r="A43" s="238"/>
      <c r="B43" s="239" t="s">
        <v>6</v>
      </c>
      <c r="C43" s="240" t="s">
        <v>99</v>
      </c>
      <c r="D43" s="188" t="s">
        <v>2</v>
      </c>
      <c r="E43" s="189" t="s">
        <v>2</v>
      </c>
      <c r="F43" s="121"/>
    </row>
    <row r="44" spans="1:6" ht="25.5" customHeight="1">
      <c r="A44" s="169"/>
      <c r="B44" s="170"/>
      <c r="C44" s="170"/>
      <c r="D44" s="171"/>
      <c r="E44" s="172"/>
      <c r="F44" s="173"/>
    </row>
    <row r="45" spans="1:6" ht="25.5" customHeight="1">
      <c r="A45" s="161"/>
      <c r="B45" s="146" t="s">
        <v>144</v>
      </c>
      <c r="C45" s="148"/>
      <c r="D45" s="157"/>
      <c r="E45" s="153"/>
      <c r="F45" s="174"/>
    </row>
    <row r="46" spans="1:6" ht="25.5" customHeight="1">
      <c r="A46" s="161"/>
      <c r="B46" s="146" t="s">
        <v>145</v>
      </c>
      <c r="C46" s="148"/>
      <c r="D46" s="157"/>
      <c r="E46" s="30">
        <v>-153941132</v>
      </c>
      <c r="F46" s="59"/>
    </row>
    <row r="47" spans="1:6" ht="25.5" customHeight="1">
      <c r="A47" s="161"/>
      <c r="B47" s="146" t="s">
        <v>171</v>
      </c>
      <c r="C47" s="147"/>
      <c r="D47" s="157"/>
      <c r="E47" s="158"/>
      <c r="F47" s="110"/>
    </row>
    <row r="48" spans="1:6" ht="25.5" customHeight="1" thickBot="1">
      <c r="A48" s="60"/>
      <c r="B48" s="163" t="s">
        <v>12</v>
      </c>
      <c r="C48" s="163"/>
      <c r="D48" s="163"/>
      <c r="E48" s="165">
        <f>SUM(E38:E46)</f>
        <v>-153592165.83333334</v>
      </c>
      <c r="F48" s="166"/>
    </row>
    <row r="49" spans="1:6" ht="25.5" customHeight="1">
      <c r="A49" s="143"/>
      <c r="B49" s="58"/>
      <c r="C49" s="58"/>
      <c r="D49" s="58"/>
      <c r="E49" s="58"/>
      <c r="F49" s="144"/>
    </row>
    <row r="50" spans="1:6" ht="25.5" customHeight="1">
      <c r="A50" s="102"/>
      <c r="B50" s="1"/>
      <c r="C50" s="1"/>
      <c r="D50" s="1"/>
      <c r="E50" s="1"/>
      <c r="F50" s="110"/>
    </row>
    <row r="51" spans="1:6" ht="25.5" customHeight="1">
      <c r="A51" s="102"/>
      <c r="B51" s="1"/>
      <c r="C51" s="1"/>
      <c r="D51" s="1"/>
      <c r="E51" s="1"/>
      <c r="F51" s="110"/>
    </row>
    <row r="52" spans="1:6" ht="25.5" customHeight="1">
      <c r="A52" s="102"/>
      <c r="B52" s="1"/>
      <c r="C52" s="1"/>
      <c r="D52" s="1"/>
      <c r="E52" s="1"/>
      <c r="F52" s="110"/>
    </row>
    <row r="53" spans="1:6" ht="25.5" customHeight="1">
      <c r="A53" s="102"/>
      <c r="B53" s="1"/>
      <c r="C53" s="1"/>
      <c r="D53" s="1"/>
      <c r="E53" s="1"/>
      <c r="F53" s="110"/>
    </row>
    <row r="54" spans="1:6" ht="25.5" customHeight="1">
      <c r="A54" s="102"/>
      <c r="B54" s="119"/>
      <c r="C54" s="1"/>
      <c r="D54" s="1"/>
      <c r="E54" s="47"/>
      <c r="F54" s="110"/>
    </row>
    <row r="55" spans="1:6" ht="25.5" customHeight="1">
      <c r="A55" s="102"/>
      <c r="B55" s="3"/>
      <c r="C55" s="1"/>
      <c r="D55" s="1"/>
      <c r="E55" s="236" t="s">
        <v>104</v>
      </c>
      <c r="F55" s="110"/>
    </row>
    <row r="56" spans="1:6" ht="25.5" customHeight="1">
      <c r="A56" s="106" t="s">
        <v>101</v>
      </c>
      <c r="B56" s="1"/>
      <c r="C56" s="1"/>
      <c r="D56" s="1"/>
      <c r="E56" s="47" t="s">
        <v>6</v>
      </c>
      <c r="F56" s="110"/>
    </row>
    <row r="57" spans="1:6" ht="25.5" customHeight="1">
      <c r="A57" s="106" t="s">
        <v>109</v>
      </c>
      <c r="B57" s="1"/>
      <c r="C57" s="1"/>
      <c r="D57" s="1"/>
      <c r="E57" s="1"/>
      <c r="F57" s="110"/>
    </row>
    <row r="58" spans="1:6" ht="25.5" customHeight="1">
      <c r="A58" s="120"/>
      <c r="B58" s="1"/>
      <c r="C58" s="1"/>
      <c r="D58" s="1"/>
      <c r="E58" s="1"/>
      <c r="F58" s="110"/>
    </row>
    <row r="59" spans="1:6" ht="25.5" customHeight="1">
      <c r="A59" s="102"/>
      <c r="B59" s="1"/>
      <c r="C59" s="1"/>
      <c r="D59" s="1"/>
      <c r="E59" s="48" t="s">
        <v>185</v>
      </c>
      <c r="F59" s="110"/>
    </row>
    <row r="60" spans="1:6" ht="25.5" customHeight="1">
      <c r="A60" s="102"/>
      <c r="B60" s="1"/>
      <c r="C60" s="1"/>
      <c r="D60" s="1"/>
      <c r="F60" s="110"/>
    </row>
    <row r="61" spans="1:6" ht="25.5" customHeight="1">
      <c r="A61" s="106" t="s">
        <v>110</v>
      </c>
      <c r="B61" s="1"/>
      <c r="C61" s="1"/>
      <c r="D61" s="1"/>
      <c r="F61" s="110"/>
    </row>
    <row r="62" spans="1:6" ht="25.5" customHeight="1">
      <c r="A62" s="111" t="s">
        <v>102</v>
      </c>
      <c r="B62" s="1"/>
      <c r="C62" s="1"/>
      <c r="D62" s="1"/>
      <c r="E62" s="46" t="s">
        <v>203</v>
      </c>
      <c r="F62" s="109"/>
    </row>
    <row r="63" spans="1:6" ht="25.5" customHeight="1">
      <c r="A63" s="102"/>
      <c r="B63" s="1"/>
      <c r="C63" s="1"/>
      <c r="D63" s="1"/>
      <c r="E63" s="47" t="s">
        <v>202</v>
      </c>
      <c r="F63" s="110"/>
    </row>
    <row r="64" spans="1:6" ht="25.5" customHeight="1">
      <c r="A64" s="111" t="s">
        <v>111</v>
      </c>
      <c r="B64" s="1"/>
      <c r="C64" s="1"/>
      <c r="D64" s="1"/>
      <c r="E64" s="48" t="s">
        <v>106</v>
      </c>
      <c r="F64" s="110"/>
    </row>
    <row r="65" spans="1:6" ht="25.5" customHeight="1" thickBot="1">
      <c r="A65" s="112" t="s">
        <v>212</v>
      </c>
      <c r="B65" s="113"/>
      <c r="C65" s="113"/>
      <c r="D65" s="113"/>
      <c r="E65" s="115" t="s">
        <v>213</v>
      </c>
      <c r="F65" s="116"/>
    </row>
    <row r="80" spans="1:5" ht="12.75">
      <c r="A80" t="s">
        <v>6</v>
      </c>
      <c r="E80" t="s">
        <v>6</v>
      </c>
    </row>
  </sheetData>
  <mergeCells count="7">
    <mergeCell ref="A40:F40"/>
    <mergeCell ref="A42:C42"/>
    <mergeCell ref="D42:E42"/>
    <mergeCell ref="A1:F1"/>
    <mergeCell ref="A2:F2"/>
    <mergeCell ref="A3:C3"/>
    <mergeCell ref="D3:E3"/>
  </mergeCells>
  <printOptions horizontalCentered="1" verticalCentered="1"/>
  <pageMargins left="0.75" right="0.75" top="0" bottom="0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0"/>
  <sheetViews>
    <sheetView workbookViewId="0" topLeftCell="A56">
      <selection activeCell="A65" sqref="A65"/>
    </sheetView>
  </sheetViews>
  <sheetFormatPr defaultColWidth="9.140625" defaultRowHeight="12.75"/>
  <cols>
    <col min="1" max="1" width="4.7109375" style="17" customWidth="1"/>
    <col min="2" max="2" width="8.7109375" style="17" customWidth="1"/>
    <col min="3" max="5" width="9.140625" style="17" customWidth="1"/>
    <col min="6" max="6" width="12.00390625" style="17" customWidth="1"/>
    <col min="7" max="8" width="17.7109375" style="17" customWidth="1"/>
    <col min="9" max="9" width="9.140625" style="17" customWidth="1"/>
    <col min="10" max="10" width="3.7109375" style="17" customWidth="1"/>
    <col min="11" max="11" width="25.7109375" style="17" customWidth="1"/>
    <col min="12" max="12" width="14.7109375" style="17" customWidth="1"/>
    <col min="13" max="13" width="15.7109375" style="17" customWidth="1"/>
    <col min="14" max="14" width="13.7109375" style="17" customWidth="1"/>
    <col min="15" max="16" width="14.7109375" style="17" customWidth="1"/>
    <col min="17" max="17" width="15.7109375" style="17" bestFit="1" customWidth="1"/>
    <col min="18" max="21" width="14.7109375" style="17" customWidth="1"/>
    <col min="22" max="16384" width="9.140625" style="17" customWidth="1"/>
  </cols>
  <sheetData>
    <row r="1" spans="1:8" ht="19.5" customHeight="1" hidden="1" thickBot="1">
      <c r="A1" s="433" t="s">
        <v>194</v>
      </c>
      <c r="B1" s="434"/>
      <c r="C1" s="434"/>
      <c r="D1" s="434"/>
      <c r="E1" s="434"/>
      <c r="F1" s="434"/>
      <c r="G1" s="434"/>
      <c r="H1" s="435"/>
    </row>
    <row r="2" spans="1:8" ht="19.5" customHeight="1" hidden="1" thickTop="1">
      <c r="A2" s="266"/>
      <c r="B2" s="436" t="s">
        <v>193</v>
      </c>
      <c r="C2" s="436"/>
      <c r="D2" s="436"/>
      <c r="E2" s="436"/>
      <c r="F2" s="436"/>
      <c r="G2" s="436"/>
      <c r="H2" s="415"/>
    </row>
    <row r="3" spans="1:8" ht="19.5" customHeight="1" hidden="1">
      <c r="A3" s="176" t="s">
        <v>6</v>
      </c>
      <c r="B3" s="18"/>
      <c r="C3" s="18"/>
      <c r="D3" s="18"/>
      <c r="E3" s="18"/>
      <c r="F3" s="18"/>
      <c r="G3" s="262" t="s">
        <v>216</v>
      </c>
      <c r="H3" s="79" t="s">
        <v>210</v>
      </c>
    </row>
    <row r="4" spans="1:8" ht="19.5" customHeight="1" hidden="1">
      <c r="A4" s="192"/>
      <c r="B4" s="437" t="s">
        <v>5</v>
      </c>
      <c r="C4" s="437"/>
      <c r="D4" s="437"/>
      <c r="E4" s="437"/>
      <c r="F4" s="438"/>
      <c r="G4" s="81" t="s">
        <v>2</v>
      </c>
      <c r="H4" s="82" t="s">
        <v>2</v>
      </c>
    </row>
    <row r="5" spans="1:8" ht="19.5" customHeight="1" hidden="1">
      <c r="A5" s="61"/>
      <c r="B5" s="22" t="s">
        <v>36</v>
      </c>
      <c r="C5" s="18"/>
      <c r="D5" s="18"/>
      <c r="E5" s="18"/>
      <c r="F5" s="21"/>
      <c r="G5" s="21"/>
      <c r="H5" s="177"/>
    </row>
    <row r="6" spans="1:8" ht="19.5" customHeight="1" hidden="1">
      <c r="A6" s="61"/>
      <c r="B6" s="18" t="s">
        <v>37</v>
      </c>
      <c r="C6" s="18"/>
      <c r="D6" s="18"/>
      <c r="E6" s="18"/>
      <c r="F6" s="21"/>
      <c r="G6" s="23">
        <v>90000000</v>
      </c>
      <c r="H6" s="66">
        <v>90000000</v>
      </c>
    </row>
    <row r="7" spans="1:8" ht="19.5" customHeight="1" hidden="1">
      <c r="A7" s="61"/>
      <c r="B7" s="18"/>
      <c r="C7" s="18"/>
      <c r="D7" s="18"/>
      <c r="E7" s="24" t="s">
        <v>38</v>
      </c>
      <c r="F7" s="21"/>
      <c r="G7" s="41">
        <v>90000000</v>
      </c>
      <c r="H7" s="178">
        <v>90000000</v>
      </c>
    </row>
    <row r="8" spans="1:8" ht="19.5" customHeight="1" hidden="1">
      <c r="A8" s="61"/>
      <c r="B8" s="22" t="s">
        <v>39</v>
      </c>
      <c r="C8" s="18"/>
      <c r="D8" s="18"/>
      <c r="E8" s="18"/>
      <c r="F8" s="21"/>
      <c r="G8" s="23"/>
      <c r="H8" s="66"/>
    </row>
    <row r="9" spans="1:8" ht="19.5" customHeight="1" hidden="1" thickBot="1">
      <c r="A9" s="61"/>
      <c r="B9" s="26" t="s">
        <v>163</v>
      </c>
      <c r="C9" s="18"/>
      <c r="D9" s="18"/>
      <c r="E9" s="18"/>
      <c r="F9" s="21"/>
      <c r="G9" s="23">
        <v>81275000</v>
      </c>
      <c r="H9" s="66">
        <v>81275000</v>
      </c>
    </row>
    <row r="10" spans="1:8" ht="19.5" customHeight="1" hidden="1" thickBot="1">
      <c r="A10" s="179"/>
      <c r="B10" s="69"/>
      <c r="C10" s="69"/>
      <c r="D10" s="69"/>
      <c r="E10" s="180" t="s">
        <v>38</v>
      </c>
      <c r="F10" s="69"/>
      <c r="G10" s="42">
        <v>81275000</v>
      </c>
      <c r="H10" s="43">
        <v>81275000</v>
      </c>
    </row>
    <row r="11" spans="1:8" ht="19.5" customHeight="1" hidden="1">
      <c r="A11" s="185"/>
      <c r="B11" s="439" t="s">
        <v>149</v>
      </c>
      <c r="C11" s="439"/>
      <c r="D11" s="439"/>
      <c r="E11" s="439"/>
      <c r="F11" s="439"/>
      <c r="G11" s="439"/>
      <c r="H11" s="440"/>
    </row>
    <row r="12" spans="1:8" ht="19.5" customHeight="1" hidden="1">
      <c r="A12" s="62" t="s">
        <v>34</v>
      </c>
      <c r="B12" s="19"/>
      <c r="C12" s="19"/>
      <c r="D12" s="19"/>
      <c r="E12" s="19"/>
      <c r="F12" s="25"/>
      <c r="G12" s="262" t="s">
        <v>216</v>
      </c>
      <c r="H12" s="63" t="s">
        <v>210</v>
      </c>
    </row>
    <row r="13" spans="1:8" ht="19.5" customHeight="1" hidden="1">
      <c r="A13" s="182" t="s">
        <v>35</v>
      </c>
      <c r="B13" s="441" t="s">
        <v>5</v>
      </c>
      <c r="C13" s="442"/>
      <c r="D13" s="442"/>
      <c r="E13" s="442"/>
      <c r="F13" s="443"/>
      <c r="G13" s="28" t="s">
        <v>2</v>
      </c>
      <c r="H13" s="183" t="s">
        <v>2</v>
      </c>
    </row>
    <row r="14" spans="1:8" ht="19.5" customHeight="1" hidden="1" thickBot="1">
      <c r="A14" s="67" t="s">
        <v>40</v>
      </c>
      <c r="B14" s="49" t="s">
        <v>115</v>
      </c>
      <c r="C14" s="18"/>
      <c r="D14" s="18"/>
      <c r="E14" s="18"/>
      <c r="F14" s="21" t="s">
        <v>6</v>
      </c>
      <c r="G14" s="249">
        <v>42609834</v>
      </c>
      <c r="H14" s="260">
        <v>42609834</v>
      </c>
    </row>
    <row r="15" spans="1:9" ht="19.5" customHeight="1" hidden="1" thickBot="1">
      <c r="A15" s="67" t="s">
        <v>41</v>
      </c>
      <c r="B15" s="49" t="s">
        <v>116</v>
      </c>
      <c r="C15" s="18"/>
      <c r="D15" s="18"/>
      <c r="E15" s="18"/>
      <c r="F15" s="21" t="s">
        <v>6</v>
      </c>
      <c r="G15" s="249">
        <v>30569740</v>
      </c>
      <c r="H15" s="259">
        <v>30569740</v>
      </c>
      <c r="I15" s="181"/>
    </row>
    <row r="16" spans="1:8" ht="19.5" customHeight="1" hidden="1">
      <c r="A16" s="65"/>
      <c r="B16" s="18" t="s">
        <v>42</v>
      </c>
      <c r="C16" s="18"/>
      <c r="D16" s="18"/>
      <c r="E16" s="18"/>
      <c r="F16" s="21"/>
      <c r="G16" s="23"/>
      <c r="H16" s="66"/>
    </row>
    <row r="17" spans="1:8" ht="19.5" customHeight="1" hidden="1">
      <c r="A17" s="65"/>
      <c r="B17" s="252" t="s">
        <v>180</v>
      </c>
      <c r="C17" s="18"/>
      <c r="D17" s="18"/>
      <c r="E17" s="18"/>
      <c r="F17" s="21"/>
      <c r="G17" s="23"/>
      <c r="H17" s="66"/>
    </row>
    <row r="18" spans="1:8" ht="19.5" customHeight="1" hidden="1">
      <c r="A18" s="65"/>
      <c r="B18" s="267" t="s">
        <v>183</v>
      </c>
      <c r="C18" s="18"/>
      <c r="D18" s="18"/>
      <c r="E18" s="18"/>
      <c r="F18" s="21"/>
      <c r="G18" s="23"/>
      <c r="H18" s="66"/>
    </row>
    <row r="19" spans="1:8" ht="19.5" customHeight="1" hidden="1">
      <c r="A19" s="67" t="s">
        <v>43</v>
      </c>
      <c r="B19" s="22" t="s">
        <v>44</v>
      </c>
      <c r="C19" s="18"/>
      <c r="D19" s="18"/>
      <c r="E19" s="18"/>
      <c r="F19" s="21"/>
      <c r="G19" s="249">
        <v>47382142</v>
      </c>
      <c r="H19" s="259">
        <v>47382142</v>
      </c>
    </row>
    <row r="20" spans="1:8" ht="19.5" customHeight="1" hidden="1">
      <c r="A20" s="65"/>
      <c r="B20" s="26" t="s">
        <v>45</v>
      </c>
      <c r="C20" s="18"/>
      <c r="D20" s="18"/>
      <c r="E20" s="18"/>
      <c r="F20" s="21"/>
      <c r="G20" s="23"/>
      <c r="H20" s="66"/>
    </row>
    <row r="21" spans="1:8" ht="19.5" customHeight="1" hidden="1">
      <c r="A21" s="65"/>
      <c r="B21" s="26" t="s">
        <v>168</v>
      </c>
      <c r="C21" s="18"/>
      <c r="D21" s="18"/>
      <c r="E21" s="18"/>
      <c r="F21" s="21"/>
      <c r="G21" s="23"/>
      <c r="H21" s="66"/>
    </row>
    <row r="22" spans="1:8" ht="19.5" customHeight="1" hidden="1">
      <c r="A22" s="65"/>
      <c r="B22" s="26" t="s">
        <v>46</v>
      </c>
      <c r="C22" s="18"/>
      <c r="D22" s="18"/>
      <c r="E22" s="18"/>
      <c r="F22" s="21"/>
      <c r="G22" s="23"/>
      <c r="H22" s="66"/>
    </row>
    <row r="23" spans="1:8" ht="19.5" customHeight="1" hidden="1">
      <c r="A23" s="65"/>
      <c r="B23" s="252" t="s">
        <v>182</v>
      </c>
      <c r="C23" s="18"/>
      <c r="D23" s="18"/>
      <c r="E23" s="18"/>
      <c r="F23" s="21"/>
      <c r="G23" s="23"/>
      <c r="H23" s="66"/>
    </row>
    <row r="24" spans="1:8" ht="19.5" customHeight="1" hidden="1">
      <c r="A24" s="71">
        <v>4</v>
      </c>
      <c r="B24" s="281" t="s">
        <v>217</v>
      </c>
      <c r="C24" s="19"/>
      <c r="D24" s="19"/>
      <c r="E24" s="19"/>
      <c r="F24" s="25"/>
      <c r="G24" s="23">
        <v>116994</v>
      </c>
      <c r="H24" s="66">
        <v>143844</v>
      </c>
    </row>
    <row r="25" spans="1:8" ht="19.5" customHeight="1" hidden="1">
      <c r="A25" s="71"/>
      <c r="B25" s="282" t="s">
        <v>218</v>
      </c>
      <c r="C25" s="18"/>
      <c r="D25" s="18"/>
      <c r="E25" s="18"/>
      <c r="F25" s="21"/>
      <c r="G25" s="23"/>
      <c r="H25" s="66"/>
    </row>
    <row r="26" spans="1:8" ht="19.5" customHeight="1" hidden="1" thickBot="1">
      <c r="A26" s="71"/>
      <c r="B26" s="287" t="s">
        <v>219</v>
      </c>
      <c r="C26" s="284"/>
      <c r="D26" s="284"/>
      <c r="E26" s="284"/>
      <c r="F26" s="286"/>
      <c r="G26" s="23"/>
      <c r="H26" s="66"/>
    </row>
    <row r="27" spans="1:8" ht="19.5" customHeight="1" hidden="1" thickBot="1">
      <c r="A27" s="71"/>
      <c r="B27" s="283" t="s">
        <v>6</v>
      </c>
      <c r="C27" s="284"/>
      <c r="D27" s="284"/>
      <c r="E27" s="285" t="s">
        <v>38</v>
      </c>
      <c r="F27" s="286"/>
      <c r="G27" s="41">
        <f>SUM(G14:G24)</f>
        <v>120678710</v>
      </c>
      <c r="H27" s="184">
        <f>+H14+H15+H19+H24</f>
        <v>120705560</v>
      </c>
    </row>
    <row r="28" spans="1:8" ht="19.5" customHeight="1" hidden="1" thickBot="1">
      <c r="A28" s="26" t="s">
        <v>186</v>
      </c>
      <c r="B28" s="22"/>
      <c r="C28" s="18"/>
      <c r="D28" s="18"/>
      <c r="E28" s="22"/>
      <c r="F28" s="18"/>
      <c r="G28" s="44"/>
      <c r="H28" s="44"/>
    </row>
    <row r="29" spans="1:8" ht="19.5" customHeight="1" hidden="1">
      <c r="A29" s="185"/>
      <c r="B29" s="439" t="s">
        <v>148</v>
      </c>
      <c r="C29" s="439"/>
      <c r="D29" s="439"/>
      <c r="E29" s="439"/>
      <c r="F29" s="439"/>
      <c r="G29" s="439"/>
      <c r="H29" s="440"/>
    </row>
    <row r="30" spans="1:8" ht="19.5" customHeight="1" hidden="1">
      <c r="A30" s="62" t="s">
        <v>34</v>
      </c>
      <c r="B30" s="19"/>
      <c r="C30" s="19"/>
      <c r="D30" s="19"/>
      <c r="E30" s="19"/>
      <c r="F30" s="25"/>
      <c r="G30" s="262" t="s">
        <v>216</v>
      </c>
      <c r="H30" s="63" t="s">
        <v>210</v>
      </c>
    </row>
    <row r="31" spans="1:8" ht="19.5" customHeight="1" hidden="1">
      <c r="A31" s="64" t="s">
        <v>35</v>
      </c>
      <c r="B31" s="441" t="s">
        <v>5</v>
      </c>
      <c r="C31" s="442"/>
      <c r="D31" s="442"/>
      <c r="E31" s="442"/>
      <c r="F31" s="443"/>
      <c r="G31" s="28" t="s">
        <v>2</v>
      </c>
      <c r="H31" s="183" t="s">
        <v>2</v>
      </c>
    </row>
    <row r="32" spans="1:8" ht="19.5" customHeight="1" hidden="1">
      <c r="A32" s="67" t="s">
        <v>40</v>
      </c>
      <c r="B32" s="22" t="s">
        <v>48</v>
      </c>
      <c r="C32" s="18"/>
      <c r="D32" s="18"/>
      <c r="E32" s="18"/>
      <c r="F32" s="21"/>
      <c r="G32" s="23">
        <v>9598862</v>
      </c>
      <c r="H32" s="66">
        <v>9911164</v>
      </c>
    </row>
    <row r="33" spans="1:8" ht="19.5" customHeight="1" hidden="1">
      <c r="A33" s="65"/>
      <c r="B33" s="26" t="s">
        <v>49</v>
      </c>
      <c r="C33" s="18"/>
      <c r="D33" s="18"/>
      <c r="E33" s="18"/>
      <c r="F33" s="21"/>
      <c r="G33" s="23"/>
      <c r="H33" s="66"/>
    </row>
    <row r="34" spans="1:8" ht="19.5" customHeight="1" hidden="1">
      <c r="A34" s="65"/>
      <c r="B34" s="18" t="s">
        <v>50</v>
      </c>
      <c r="C34" s="18"/>
      <c r="D34" s="18"/>
      <c r="E34" s="18"/>
      <c r="F34" s="21"/>
      <c r="G34" s="23"/>
      <c r="H34" s="66"/>
    </row>
    <row r="35" spans="1:8" ht="19.5" customHeight="1" hidden="1">
      <c r="A35" s="67" t="s">
        <v>41</v>
      </c>
      <c r="B35" s="22" t="s">
        <v>51</v>
      </c>
      <c r="C35" s="18"/>
      <c r="D35" s="18"/>
      <c r="E35" s="18"/>
      <c r="F35" s="21"/>
      <c r="G35" s="23">
        <v>768779</v>
      </c>
      <c r="H35" s="66">
        <v>675807</v>
      </c>
    </row>
    <row r="36" spans="1:8" ht="19.5" customHeight="1" hidden="1">
      <c r="A36" s="67" t="s">
        <v>43</v>
      </c>
      <c r="B36" s="49" t="s">
        <v>173</v>
      </c>
      <c r="C36" s="18"/>
      <c r="D36" s="18"/>
      <c r="E36" s="18"/>
      <c r="F36" s="21"/>
      <c r="G36" s="23">
        <v>4225101</v>
      </c>
      <c r="H36" s="66">
        <v>4225101</v>
      </c>
    </row>
    <row r="37" spans="1:8" ht="19.5" customHeight="1" hidden="1">
      <c r="A37" s="65"/>
      <c r="B37" s="279" t="s">
        <v>181</v>
      </c>
      <c r="C37" s="18"/>
      <c r="D37" s="18"/>
      <c r="E37" s="18"/>
      <c r="F37" s="21"/>
      <c r="G37" s="23"/>
      <c r="H37" s="66"/>
    </row>
    <row r="38" spans="1:8" ht="19.5" customHeight="1" hidden="1" thickBot="1">
      <c r="A38" s="67" t="s">
        <v>47</v>
      </c>
      <c r="B38" s="22" t="s">
        <v>52</v>
      </c>
      <c r="C38" s="18"/>
      <c r="D38" s="18"/>
      <c r="E38" s="18"/>
      <c r="F38" s="21"/>
      <c r="G38" s="23">
        <v>1068599</v>
      </c>
      <c r="H38" s="66">
        <v>1068599</v>
      </c>
    </row>
    <row r="39" spans="1:8" ht="19.5" customHeight="1" hidden="1" thickBot="1">
      <c r="A39" s="68"/>
      <c r="B39" s="69"/>
      <c r="C39" s="69"/>
      <c r="D39" s="69"/>
      <c r="E39" s="70" t="s">
        <v>38</v>
      </c>
      <c r="F39" s="69"/>
      <c r="G39" s="193">
        <f>SUM(G32:G38)</f>
        <v>15661341</v>
      </c>
      <c r="H39" s="184">
        <f>SUM(H32:H38)</f>
        <v>15880671</v>
      </c>
    </row>
    <row r="40" spans="1:8" ht="19.5" customHeight="1" hidden="1" thickBot="1">
      <c r="A40" s="444" t="s">
        <v>92</v>
      </c>
      <c r="B40" s="445"/>
      <c r="C40" s="445"/>
      <c r="D40" s="445"/>
      <c r="E40" s="445"/>
      <c r="F40" s="445"/>
      <c r="G40" s="445"/>
      <c r="H40" s="446"/>
    </row>
    <row r="41" spans="1:8" ht="19.5" customHeight="1" hidden="1" thickTop="1">
      <c r="A41" s="194"/>
      <c r="B41" s="439" t="s">
        <v>220</v>
      </c>
      <c r="C41" s="439"/>
      <c r="D41" s="439"/>
      <c r="E41" s="439"/>
      <c r="F41" s="439"/>
      <c r="G41" s="439"/>
      <c r="H41" s="440"/>
    </row>
    <row r="42" spans="1:8" ht="19.5" customHeight="1" hidden="1">
      <c r="A42" s="62" t="s">
        <v>34</v>
      </c>
      <c r="B42" s="19"/>
      <c r="C42" s="19"/>
      <c r="D42" s="19"/>
      <c r="E42" s="19"/>
      <c r="F42" s="25"/>
      <c r="G42" s="277" t="s">
        <v>216</v>
      </c>
      <c r="H42" s="63"/>
    </row>
    <row r="43" spans="1:8" ht="19.5" customHeight="1" hidden="1">
      <c r="A43" s="182" t="s">
        <v>35</v>
      </c>
      <c r="B43" s="441" t="s">
        <v>5</v>
      </c>
      <c r="C43" s="442"/>
      <c r="D43" s="442"/>
      <c r="E43" s="442"/>
      <c r="F43" s="443"/>
      <c r="G43" s="45" t="s">
        <v>2</v>
      </c>
      <c r="H43" s="183"/>
    </row>
    <row r="44" spans="1:8" ht="19.5" customHeight="1" hidden="1">
      <c r="A44" s="67" t="s">
        <v>53</v>
      </c>
      <c r="B44" s="18" t="s">
        <v>54</v>
      </c>
      <c r="C44" s="18"/>
      <c r="D44" s="18"/>
      <c r="E44" s="18"/>
      <c r="F44" s="21"/>
      <c r="G44" s="27">
        <v>1319950</v>
      </c>
      <c r="H44" s="66"/>
    </row>
    <row r="45" spans="1:8" ht="19.5" customHeight="1" hidden="1">
      <c r="A45" s="67" t="s">
        <v>41</v>
      </c>
      <c r="B45" s="18" t="s">
        <v>55</v>
      </c>
      <c r="C45" s="18"/>
      <c r="D45" s="18"/>
      <c r="E45" s="18"/>
      <c r="F45" s="21"/>
      <c r="G45" s="27">
        <v>351250</v>
      </c>
      <c r="H45" s="66"/>
    </row>
    <row r="46" spans="1:11" ht="19.5" customHeight="1" hidden="1" thickBot="1">
      <c r="A46" s="67" t="s">
        <v>43</v>
      </c>
      <c r="B46" s="18" t="s">
        <v>56</v>
      </c>
      <c r="C46" s="18"/>
      <c r="D46" s="18"/>
      <c r="E46" s="18"/>
      <c r="F46" s="21"/>
      <c r="G46" s="27">
        <v>1813710</v>
      </c>
      <c r="H46" s="66"/>
      <c r="K46" s="254">
        <f>+H45+H46</f>
        <v>0</v>
      </c>
    </row>
    <row r="47" spans="1:11" ht="19.5" customHeight="1" hidden="1" thickBot="1">
      <c r="A47" s="68"/>
      <c r="B47" s="69"/>
      <c r="C47" s="69"/>
      <c r="D47" s="69"/>
      <c r="E47" s="70" t="s">
        <v>38</v>
      </c>
      <c r="F47" s="69"/>
      <c r="G47" s="42">
        <f>SUM(G44:G46)</f>
        <v>3484910</v>
      </c>
      <c r="H47" s="184"/>
      <c r="K47" s="254">
        <f>+G45+G46</f>
        <v>2164960</v>
      </c>
    </row>
    <row r="48" spans="1:11" ht="19.5" customHeight="1" hidden="1">
      <c r="A48" s="268"/>
      <c r="B48" s="269" t="s">
        <v>58</v>
      </c>
      <c r="C48" s="270"/>
      <c r="D48" s="270"/>
      <c r="E48" s="271"/>
      <c r="F48" s="270"/>
      <c r="G48" s="272" t="s">
        <v>221</v>
      </c>
      <c r="H48" s="195"/>
      <c r="K48" s="254">
        <f>+K46-K47</f>
        <v>-2164960</v>
      </c>
    </row>
    <row r="49" spans="1:8" ht="19.5" customHeight="1" hidden="1">
      <c r="A49" s="64" t="s">
        <v>34</v>
      </c>
      <c r="B49" s="18"/>
      <c r="C49" s="18"/>
      <c r="D49" s="18"/>
      <c r="E49" s="18"/>
      <c r="F49" s="21"/>
      <c r="G49" s="277" t="s">
        <v>216</v>
      </c>
      <c r="H49" s="63"/>
    </row>
    <row r="50" spans="1:8" ht="19.5" customHeight="1" hidden="1">
      <c r="A50" s="182" t="s">
        <v>35</v>
      </c>
      <c r="B50" s="441" t="s">
        <v>5</v>
      </c>
      <c r="C50" s="442"/>
      <c r="D50" s="442"/>
      <c r="E50" s="442"/>
      <c r="F50" s="443"/>
      <c r="G50" s="45" t="s">
        <v>2</v>
      </c>
      <c r="H50" s="183"/>
    </row>
    <row r="51" spans="1:8" ht="19.5" customHeight="1" hidden="1">
      <c r="A51" s="67">
        <v>1</v>
      </c>
      <c r="B51" s="18" t="s">
        <v>174</v>
      </c>
      <c r="C51" s="18"/>
      <c r="D51" s="18"/>
      <c r="E51" s="18"/>
      <c r="F51" s="21"/>
      <c r="G51" s="27">
        <v>52469</v>
      </c>
      <c r="H51" s="66"/>
    </row>
    <row r="52" spans="1:8" ht="19.5" customHeight="1" hidden="1">
      <c r="A52" s="67">
        <v>2</v>
      </c>
      <c r="B52" s="18" t="s">
        <v>207</v>
      </c>
      <c r="C52" s="18"/>
      <c r="D52" s="18"/>
      <c r="E52" s="18"/>
      <c r="F52" s="18"/>
      <c r="G52" s="27">
        <v>50000</v>
      </c>
      <c r="H52" s="66"/>
    </row>
    <row r="53" spans="1:8" ht="19.5" customHeight="1" hidden="1">
      <c r="A53" s="67">
        <v>3</v>
      </c>
      <c r="B53" s="18" t="s">
        <v>208</v>
      </c>
      <c r="C53" s="18"/>
      <c r="D53" s="18"/>
      <c r="E53" s="18"/>
      <c r="F53" s="18"/>
      <c r="G53" s="27">
        <v>5252</v>
      </c>
      <c r="H53" s="66"/>
    </row>
    <row r="54" spans="1:8" ht="19.5" customHeight="1" hidden="1" thickBot="1">
      <c r="A54" s="67">
        <v>4</v>
      </c>
      <c r="B54" s="18" t="s">
        <v>209</v>
      </c>
      <c r="C54" s="18"/>
      <c r="D54" s="18"/>
      <c r="E54" s="18"/>
      <c r="F54" s="18"/>
      <c r="G54" s="52">
        <v>17070</v>
      </c>
      <c r="H54" s="66"/>
    </row>
    <row r="55" spans="1:8" ht="19.5" customHeight="1" hidden="1" thickBot="1">
      <c r="A55" s="68"/>
      <c r="B55" s="69"/>
      <c r="C55" s="69"/>
      <c r="D55" s="69"/>
      <c r="E55" s="70" t="s">
        <v>38</v>
      </c>
      <c r="F55" s="69"/>
      <c r="G55" s="42">
        <f>SUM(G51:G54)</f>
        <v>124791</v>
      </c>
      <c r="H55" s="184"/>
    </row>
    <row r="56" spans="1:8" ht="19.5" customHeight="1" thickBot="1">
      <c r="A56" s="273"/>
      <c r="B56" s="274" t="s">
        <v>169</v>
      </c>
      <c r="C56" s="270"/>
      <c r="D56" s="270"/>
      <c r="E56" s="271"/>
      <c r="F56" s="275"/>
      <c r="G56" s="276" t="s">
        <v>222</v>
      </c>
      <c r="H56" s="196"/>
    </row>
    <row r="57" spans="1:8" ht="19.5" customHeight="1">
      <c r="A57" s="176" t="s">
        <v>6</v>
      </c>
      <c r="B57" s="18"/>
      <c r="C57" s="18"/>
      <c r="D57" s="18"/>
      <c r="E57" s="18"/>
      <c r="F57" s="21"/>
      <c r="G57" s="277" t="s">
        <v>216</v>
      </c>
      <c r="H57" s="208"/>
    </row>
    <row r="58" spans="1:8" ht="19.5" customHeight="1">
      <c r="A58" s="192"/>
      <c r="B58" s="442" t="s">
        <v>5</v>
      </c>
      <c r="C58" s="442"/>
      <c r="D58" s="442"/>
      <c r="E58" s="442"/>
      <c r="F58" s="443"/>
      <c r="G58" s="28" t="s">
        <v>2</v>
      </c>
      <c r="H58" s="183"/>
    </row>
    <row r="59" spans="1:8" ht="19.5" customHeight="1">
      <c r="A59" s="61"/>
      <c r="B59" s="18" t="s">
        <v>59</v>
      </c>
      <c r="C59" s="18"/>
      <c r="D59" s="18"/>
      <c r="E59" s="18"/>
      <c r="F59" s="21"/>
      <c r="G59" s="27">
        <v>171334</v>
      </c>
      <c r="H59" s="66"/>
    </row>
    <row r="60" spans="1:11" ht="19.5" customHeight="1">
      <c r="A60" s="61" t="s">
        <v>60</v>
      </c>
      <c r="B60" s="18" t="s">
        <v>61</v>
      </c>
      <c r="C60" s="18"/>
      <c r="D60" s="18"/>
      <c r="E60" s="18"/>
      <c r="F60" s="21" t="s">
        <v>6</v>
      </c>
      <c r="G60" s="243">
        <v>641575</v>
      </c>
      <c r="H60" s="244"/>
      <c r="K60" s="254">
        <f>253457.64-G60</f>
        <v>-388117.36</v>
      </c>
    </row>
    <row r="61" spans="1:8" ht="19.5" customHeight="1">
      <c r="A61" s="61"/>
      <c r="B61" s="18"/>
      <c r="C61" s="18"/>
      <c r="D61" s="18"/>
      <c r="E61" s="22" t="s">
        <v>38</v>
      </c>
      <c r="F61" s="198" t="s">
        <v>6</v>
      </c>
      <c r="G61" s="245">
        <f>+G59+G60</f>
        <v>812909</v>
      </c>
      <c r="H61" s="245"/>
    </row>
    <row r="62" spans="1:8" ht="19.5" customHeight="1" thickBot="1">
      <c r="A62" s="61" t="s">
        <v>62</v>
      </c>
      <c r="B62" s="18" t="s">
        <v>63</v>
      </c>
      <c r="C62" s="18"/>
      <c r="D62" s="18"/>
      <c r="E62" s="18"/>
      <c r="F62" s="21" t="s">
        <v>6</v>
      </c>
      <c r="G62" s="27">
        <v>251705</v>
      </c>
      <c r="H62" s="66"/>
    </row>
    <row r="63" spans="1:8" ht="19.5" customHeight="1" thickBot="1">
      <c r="A63" s="179"/>
      <c r="C63" s="70" t="s">
        <v>201</v>
      </c>
      <c r="E63" s="70"/>
      <c r="F63" s="199" t="s">
        <v>6</v>
      </c>
      <c r="G63" s="42">
        <f>+G61-G62</f>
        <v>561204</v>
      </c>
      <c r="H63" s="42"/>
    </row>
    <row r="64" spans="1:8" ht="23.25" thickBot="1">
      <c r="A64" s="433" t="s">
        <v>92</v>
      </c>
      <c r="B64" s="434"/>
      <c r="C64" s="434"/>
      <c r="D64" s="434"/>
      <c r="E64" s="434"/>
      <c r="F64" s="434"/>
      <c r="G64" s="434"/>
      <c r="H64" s="435"/>
    </row>
    <row r="65" spans="1:8" ht="23.25" thickTop="1">
      <c r="A65" s="191"/>
      <c r="B65" s="246" t="s">
        <v>170</v>
      </c>
      <c r="C65" s="200"/>
      <c r="D65" s="200"/>
      <c r="E65" s="200"/>
      <c r="F65" s="200"/>
      <c r="G65" s="201" t="s">
        <v>223</v>
      </c>
      <c r="H65" s="202"/>
    </row>
    <row r="66" spans="1:8" ht="16.5">
      <c r="A66" s="64" t="s">
        <v>34</v>
      </c>
      <c r="B66" s="18"/>
      <c r="C66" s="18"/>
      <c r="D66" s="18"/>
      <c r="E66" s="18"/>
      <c r="F66" s="21"/>
      <c r="G66" s="289" t="s">
        <v>234</v>
      </c>
      <c r="H66" s="197"/>
    </row>
    <row r="67" spans="1:8" ht="16.5">
      <c r="A67" s="182" t="s">
        <v>35</v>
      </c>
      <c r="B67" s="441" t="s">
        <v>5</v>
      </c>
      <c r="C67" s="442"/>
      <c r="D67" s="442"/>
      <c r="E67" s="442"/>
      <c r="F67" s="443"/>
      <c r="G67" s="45" t="s">
        <v>2</v>
      </c>
      <c r="H67" s="183"/>
    </row>
    <row r="68" spans="1:8" ht="15">
      <c r="A68" s="67">
        <v>1</v>
      </c>
      <c r="B68" s="18" t="s">
        <v>65</v>
      </c>
      <c r="C68" s="18"/>
      <c r="D68" s="18"/>
      <c r="E68" s="18"/>
      <c r="F68" s="21"/>
      <c r="G68" s="27">
        <v>169065</v>
      </c>
      <c r="H68" s="66"/>
    </row>
    <row r="69" spans="1:8" ht="15">
      <c r="A69" s="67">
        <v>2</v>
      </c>
      <c r="B69" s="18" t="s">
        <v>66</v>
      </c>
      <c r="C69" s="18"/>
      <c r="D69" s="18"/>
      <c r="E69" s="18"/>
      <c r="F69" s="21"/>
      <c r="G69" s="27">
        <v>174647</v>
      </c>
      <c r="H69" s="66"/>
    </row>
    <row r="70" spans="1:8" ht="15">
      <c r="A70" s="67">
        <v>3</v>
      </c>
      <c r="B70" s="18" t="s">
        <v>238</v>
      </c>
      <c r="C70" s="18"/>
      <c r="D70" s="18"/>
      <c r="E70" s="18"/>
      <c r="F70" s="21"/>
      <c r="G70" s="27">
        <v>152680</v>
      </c>
      <c r="H70" s="66"/>
    </row>
    <row r="71" spans="1:8" ht="15">
      <c r="A71" s="67">
        <v>4</v>
      </c>
      <c r="B71" s="26" t="s">
        <v>130</v>
      </c>
      <c r="C71" s="18"/>
      <c r="D71" s="18"/>
      <c r="E71" s="18"/>
      <c r="F71" s="21"/>
      <c r="G71" s="27">
        <v>10213</v>
      </c>
      <c r="H71" s="66"/>
    </row>
    <row r="72" spans="1:8" ht="15">
      <c r="A72" s="67">
        <v>5</v>
      </c>
      <c r="B72" s="18" t="s">
        <v>67</v>
      </c>
      <c r="C72" s="18"/>
      <c r="D72" s="18"/>
      <c r="E72" s="18"/>
      <c r="F72" s="21"/>
      <c r="G72" s="27">
        <f>41500+41816</f>
        <v>83316</v>
      </c>
      <c r="H72" s="66"/>
    </row>
    <row r="73" spans="1:8" ht="15">
      <c r="A73" s="67">
        <v>6</v>
      </c>
      <c r="B73" s="18" t="s">
        <v>69</v>
      </c>
      <c r="C73" s="18"/>
      <c r="D73" s="18"/>
      <c r="E73" s="18"/>
      <c r="F73" s="21"/>
      <c r="G73" s="27">
        <v>6651</v>
      </c>
      <c r="H73" s="66"/>
    </row>
    <row r="74" spans="1:8" ht="15">
      <c r="A74" s="67">
        <v>7</v>
      </c>
      <c r="B74" s="18" t="s">
        <v>70</v>
      </c>
      <c r="C74" s="18"/>
      <c r="D74" s="18"/>
      <c r="E74" s="18"/>
      <c r="F74" s="21"/>
      <c r="G74" s="27">
        <v>5055</v>
      </c>
      <c r="H74" s="66"/>
    </row>
    <row r="75" spans="1:8" ht="15">
      <c r="A75" s="67">
        <v>8</v>
      </c>
      <c r="B75" s="18" t="s">
        <v>237</v>
      </c>
      <c r="C75" s="18"/>
      <c r="D75" s="18"/>
      <c r="E75" s="18"/>
      <c r="F75" s="21"/>
      <c r="G75" s="27">
        <v>220489</v>
      </c>
      <c r="H75" s="66"/>
    </row>
    <row r="76" spans="1:8" ht="15">
      <c r="A76" s="67">
        <v>9</v>
      </c>
      <c r="B76" s="18" t="s">
        <v>239</v>
      </c>
      <c r="C76" s="18"/>
      <c r="D76" s="18"/>
      <c r="E76" s="18"/>
      <c r="F76" s="21"/>
      <c r="G76" s="27">
        <v>13517</v>
      </c>
      <c r="H76" s="66"/>
    </row>
    <row r="77" spans="1:8" ht="15">
      <c r="A77" s="67">
        <v>10</v>
      </c>
      <c r="B77" s="18" t="s">
        <v>240</v>
      </c>
      <c r="C77" s="18"/>
      <c r="D77" s="18"/>
      <c r="E77" s="18"/>
      <c r="F77" s="18"/>
      <c r="G77" s="27">
        <v>38000</v>
      </c>
      <c r="H77" s="66"/>
    </row>
    <row r="78" spans="1:8" ht="15">
      <c r="A78" s="67">
        <v>11</v>
      </c>
      <c r="B78" s="18" t="s">
        <v>175</v>
      </c>
      <c r="C78" s="18"/>
      <c r="D78" s="18"/>
      <c r="E78" s="18"/>
      <c r="F78" s="18"/>
      <c r="G78" s="27">
        <v>96290</v>
      </c>
      <c r="H78" s="66"/>
    </row>
    <row r="79" spans="1:8" ht="15.75" thickBot="1">
      <c r="A79" s="67"/>
      <c r="B79" s="18"/>
      <c r="C79" s="18"/>
      <c r="D79" s="18"/>
      <c r="E79" s="18"/>
      <c r="F79" s="18"/>
      <c r="G79" s="23">
        <v>0</v>
      </c>
      <c r="H79" s="66"/>
    </row>
    <row r="80" spans="1:8" ht="17.25" thickBot="1">
      <c r="A80" s="68"/>
      <c r="B80" s="69"/>
      <c r="C80" s="69"/>
      <c r="D80" s="69"/>
      <c r="E80" s="70" t="s">
        <v>38</v>
      </c>
      <c r="F80" s="69"/>
      <c r="G80" s="42">
        <f>SUM(G68:G79)</f>
        <v>969923</v>
      </c>
      <c r="H80" s="184"/>
    </row>
    <row r="81" spans="1:8" ht="22.5">
      <c r="A81" s="203"/>
      <c r="B81" s="204" t="s">
        <v>162</v>
      </c>
      <c r="C81" s="204"/>
      <c r="D81" s="204" t="s">
        <v>100</v>
      </c>
      <c r="E81" s="204"/>
      <c r="F81" s="204"/>
      <c r="G81" s="265" t="s">
        <v>224</v>
      </c>
      <c r="H81" s="205"/>
    </row>
    <row r="82" spans="1:8" ht="16.5">
      <c r="A82" s="62" t="s">
        <v>34</v>
      </c>
      <c r="B82" s="19"/>
      <c r="C82" s="19"/>
      <c r="D82" s="19"/>
      <c r="E82" s="19"/>
      <c r="F82" s="25"/>
      <c r="G82" s="278" t="s">
        <v>216</v>
      </c>
      <c r="H82" s="63"/>
    </row>
    <row r="83" spans="1:8" ht="16.5">
      <c r="A83" s="182" t="s">
        <v>35</v>
      </c>
      <c r="B83" s="441" t="s">
        <v>5</v>
      </c>
      <c r="C83" s="442"/>
      <c r="D83" s="442"/>
      <c r="E83" s="442"/>
      <c r="F83" s="443"/>
      <c r="G83" s="45" t="s">
        <v>2</v>
      </c>
      <c r="H83" s="183"/>
    </row>
    <row r="84" spans="1:8" ht="15">
      <c r="A84" s="67" t="s">
        <v>40</v>
      </c>
      <c r="B84" s="18" t="s">
        <v>242</v>
      </c>
      <c r="C84" s="18"/>
      <c r="D84" s="18"/>
      <c r="E84" s="18"/>
      <c r="F84" s="21"/>
      <c r="G84" s="27">
        <f>3164+146907</f>
        <v>150071</v>
      </c>
      <c r="H84" s="66"/>
    </row>
    <row r="85" spans="1:8" ht="15">
      <c r="A85" s="67" t="s">
        <v>41</v>
      </c>
      <c r="B85" s="18" t="s">
        <v>71</v>
      </c>
      <c r="C85" s="18"/>
      <c r="D85" s="18"/>
      <c r="E85" s="18"/>
      <c r="F85" s="21"/>
      <c r="G85" s="27">
        <f>24475+7189+3482+16</f>
        <v>35162</v>
      </c>
      <c r="H85" s="66"/>
    </row>
    <row r="86" spans="1:8" ht="15.75" thickBot="1">
      <c r="A86" s="67" t="s">
        <v>43</v>
      </c>
      <c r="B86" s="18" t="s">
        <v>72</v>
      </c>
      <c r="C86" s="18"/>
      <c r="D86" s="18"/>
      <c r="E86" s="18"/>
      <c r="F86" s="21"/>
      <c r="G86" s="27">
        <f>52250+1132+21658</f>
        <v>75040</v>
      </c>
      <c r="H86" s="66"/>
    </row>
    <row r="87" spans="1:8" ht="17.25" thickBot="1">
      <c r="A87" s="68"/>
      <c r="B87" s="69"/>
      <c r="C87" s="69"/>
      <c r="D87" s="69"/>
      <c r="E87" s="70" t="s">
        <v>38</v>
      </c>
      <c r="F87" s="69"/>
      <c r="G87" s="42">
        <f>SUM(G84:G86)</f>
        <v>260273</v>
      </c>
      <c r="H87" s="184"/>
    </row>
    <row r="88" spans="1:8" ht="19.5" customHeight="1">
      <c r="A88" s="447" t="s">
        <v>225</v>
      </c>
      <c r="B88" s="448"/>
      <c r="C88" s="448"/>
      <c r="D88" s="448"/>
      <c r="E88" s="448"/>
      <c r="F88" s="448"/>
      <c r="G88" s="448"/>
      <c r="H88" s="449"/>
    </row>
    <row r="89" spans="1:8" ht="16.5">
      <c r="A89" s="62" t="s">
        <v>34</v>
      </c>
      <c r="B89" s="19"/>
      <c r="C89" s="19"/>
      <c r="D89" s="19"/>
      <c r="E89" s="19"/>
      <c r="F89" s="25"/>
      <c r="G89" s="277" t="s">
        <v>216</v>
      </c>
      <c r="H89" s="63"/>
    </row>
    <row r="90" spans="1:8" ht="16.5">
      <c r="A90" s="182" t="s">
        <v>35</v>
      </c>
      <c r="B90" s="441" t="s">
        <v>5</v>
      </c>
      <c r="C90" s="442"/>
      <c r="D90" s="442"/>
      <c r="E90" s="442"/>
      <c r="F90" s="443"/>
      <c r="G90" s="28" t="s">
        <v>2</v>
      </c>
      <c r="H90" s="183"/>
    </row>
    <row r="91" spans="1:8" ht="15">
      <c r="A91" s="67" t="s">
        <v>53</v>
      </c>
      <c r="B91" s="18" t="s">
        <v>73</v>
      </c>
      <c r="C91" s="18"/>
      <c r="D91" s="18"/>
      <c r="E91" s="18"/>
      <c r="F91" s="21"/>
      <c r="G91" s="23">
        <v>9502</v>
      </c>
      <c r="H91" s="66"/>
    </row>
    <row r="92" spans="1:8" ht="15">
      <c r="A92" s="67" t="s">
        <v>41</v>
      </c>
      <c r="B92" s="18" t="s">
        <v>74</v>
      </c>
      <c r="C92" s="18"/>
      <c r="D92" s="18"/>
      <c r="E92" s="18"/>
      <c r="F92" s="21"/>
      <c r="G92" s="23">
        <v>7688</v>
      </c>
      <c r="H92" s="66"/>
    </row>
    <row r="93" spans="1:8" ht="15">
      <c r="A93" s="67" t="s">
        <v>43</v>
      </c>
      <c r="B93" s="18" t="s">
        <v>75</v>
      </c>
      <c r="C93" s="18"/>
      <c r="D93" s="18"/>
      <c r="E93" s="18"/>
      <c r="F93" s="21"/>
      <c r="G93" s="23">
        <v>0</v>
      </c>
      <c r="H93" s="66"/>
    </row>
    <row r="94" spans="1:8" ht="15">
      <c r="A94" s="67" t="s">
        <v>47</v>
      </c>
      <c r="B94" s="18" t="s">
        <v>76</v>
      </c>
      <c r="C94" s="18"/>
      <c r="D94" s="18"/>
      <c r="E94" s="18"/>
      <c r="F94" s="21"/>
      <c r="G94" s="23">
        <v>0</v>
      </c>
      <c r="H94" s="66"/>
    </row>
    <row r="95" spans="1:8" ht="15">
      <c r="A95" s="67" t="s">
        <v>57</v>
      </c>
      <c r="B95" s="18" t="s">
        <v>77</v>
      </c>
      <c r="C95" s="18"/>
      <c r="D95" s="18"/>
      <c r="E95" s="18"/>
      <c r="F95" s="21"/>
      <c r="G95" s="23">
        <v>17658</v>
      </c>
      <c r="H95" s="66"/>
    </row>
    <row r="96" spans="1:11" ht="15">
      <c r="A96" s="67" t="s">
        <v>64</v>
      </c>
      <c r="B96" s="18" t="s">
        <v>78</v>
      </c>
      <c r="C96" s="18"/>
      <c r="D96" s="18"/>
      <c r="E96" s="18"/>
      <c r="F96" s="21"/>
      <c r="G96" s="23">
        <v>3559</v>
      </c>
      <c r="H96" s="66"/>
      <c r="K96" s="17">
        <f>35000/12</f>
        <v>2916.6666666666665</v>
      </c>
    </row>
    <row r="97" spans="1:8" ht="15">
      <c r="A97" s="67" t="s">
        <v>68</v>
      </c>
      <c r="B97" s="26" t="s">
        <v>79</v>
      </c>
      <c r="C97" s="18"/>
      <c r="D97" s="18"/>
      <c r="E97" s="18"/>
      <c r="F97" s="21"/>
      <c r="G97" s="23">
        <v>20779</v>
      </c>
      <c r="H97" s="66"/>
    </row>
    <row r="98" spans="1:8" ht="15">
      <c r="A98" s="67">
        <v>8</v>
      </c>
      <c r="B98" s="18" t="s">
        <v>191</v>
      </c>
      <c r="C98" s="18"/>
      <c r="D98" s="18"/>
      <c r="E98" s="18"/>
      <c r="F98" s="21"/>
      <c r="G98" s="23">
        <v>6554</v>
      </c>
      <c r="H98" s="66"/>
    </row>
    <row r="99" spans="1:8" ht="15">
      <c r="A99" s="67">
        <v>9</v>
      </c>
      <c r="B99" s="55" t="s">
        <v>192</v>
      </c>
      <c r="C99" s="18"/>
      <c r="D99" s="18"/>
      <c r="E99" s="18"/>
      <c r="F99" s="21"/>
      <c r="G99" s="23">
        <v>5910</v>
      </c>
      <c r="H99" s="66"/>
    </row>
    <row r="100" spans="1:8" ht="15">
      <c r="A100" s="67">
        <v>10</v>
      </c>
      <c r="B100" s="18" t="s">
        <v>236</v>
      </c>
      <c r="C100" s="18"/>
      <c r="D100" s="18"/>
      <c r="E100" s="18"/>
      <c r="F100" s="21"/>
      <c r="G100" s="23">
        <v>8500</v>
      </c>
      <c r="H100" s="66"/>
    </row>
    <row r="101" spans="1:8" ht="15">
      <c r="A101" s="67">
        <v>11</v>
      </c>
      <c r="B101" s="18" t="s">
        <v>81</v>
      </c>
      <c r="C101" s="18"/>
      <c r="D101" s="18"/>
      <c r="E101" s="18"/>
      <c r="F101" s="21"/>
      <c r="G101" s="23">
        <f>1260+500+70+7252+2500+2916</f>
        <v>14498</v>
      </c>
      <c r="H101" s="66"/>
    </row>
    <row r="102" spans="1:8" ht="15">
      <c r="A102" s="67">
        <v>12</v>
      </c>
      <c r="B102" s="26" t="s">
        <v>241</v>
      </c>
      <c r="C102" s="18"/>
      <c r="D102" s="18"/>
      <c r="E102" s="18"/>
      <c r="F102" s="21"/>
      <c r="G102" s="23">
        <f>148+5463</f>
        <v>5611</v>
      </c>
      <c r="H102" s="66"/>
    </row>
    <row r="103" spans="1:8" ht="15.75" thickBot="1">
      <c r="A103" s="67">
        <v>13</v>
      </c>
      <c r="B103" s="55" t="s">
        <v>117</v>
      </c>
      <c r="C103" s="18"/>
      <c r="D103" s="18"/>
      <c r="E103" s="18"/>
      <c r="F103" s="18"/>
      <c r="G103" s="52">
        <v>25000</v>
      </c>
      <c r="H103" s="247"/>
    </row>
    <row r="104" spans="1:8" ht="17.25" thickBot="1">
      <c r="A104" s="68"/>
      <c r="B104" s="69"/>
      <c r="C104" s="69"/>
      <c r="D104" s="69"/>
      <c r="E104" s="70" t="s">
        <v>38</v>
      </c>
      <c r="F104" s="69"/>
      <c r="G104" s="42">
        <f>SUM(G91:G103)</f>
        <v>125259</v>
      </c>
      <c r="H104" s="184"/>
    </row>
    <row r="105" spans="1:8" ht="23.25" thickBot="1">
      <c r="A105" s="433" t="s">
        <v>92</v>
      </c>
      <c r="B105" s="434"/>
      <c r="C105" s="434"/>
      <c r="D105" s="434"/>
      <c r="E105" s="434"/>
      <c r="F105" s="434"/>
      <c r="G105" s="434"/>
      <c r="H105" s="435"/>
    </row>
    <row r="106" spans="1:8" ht="23.25" customHeight="1" thickTop="1">
      <c r="A106" s="447" t="s">
        <v>226</v>
      </c>
      <c r="B106" s="448"/>
      <c r="C106" s="448"/>
      <c r="D106" s="448"/>
      <c r="E106" s="448"/>
      <c r="F106" s="448"/>
      <c r="G106" s="448"/>
      <c r="H106" s="449"/>
    </row>
    <row r="107" spans="1:8" ht="16.5">
      <c r="A107" s="62" t="s">
        <v>34</v>
      </c>
      <c r="B107" s="19"/>
      <c r="C107" s="19"/>
      <c r="D107" s="19"/>
      <c r="E107" s="19"/>
      <c r="F107" s="25"/>
      <c r="G107" s="277" t="s">
        <v>216</v>
      </c>
      <c r="H107" s="63"/>
    </row>
    <row r="108" spans="1:8" ht="16.5">
      <c r="A108" s="182" t="s">
        <v>35</v>
      </c>
      <c r="B108" s="441" t="s">
        <v>5</v>
      </c>
      <c r="C108" s="442"/>
      <c r="D108" s="442"/>
      <c r="E108" s="442"/>
      <c r="F108" s="443"/>
      <c r="G108" s="28" t="s">
        <v>2</v>
      </c>
      <c r="H108" s="183"/>
    </row>
    <row r="109" spans="1:8" ht="15">
      <c r="A109" s="67" t="s">
        <v>40</v>
      </c>
      <c r="B109" s="26" t="s">
        <v>82</v>
      </c>
      <c r="C109" s="18"/>
      <c r="D109" s="18"/>
      <c r="E109" s="18"/>
      <c r="F109" s="21"/>
      <c r="G109" s="23">
        <v>0</v>
      </c>
      <c r="H109" s="66"/>
    </row>
    <row r="110" spans="1:8" ht="15">
      <c r="A110" s="67" t="s">
        <v>41</v>
      </c>
      <c r="B110" s="18" t="s">
        <v>83</v>
      </c>
      <c r="C110" s="18"/>
      <c r="D110" s="18"/>
      <c r="E110" s="18"/>
      <c r="F110" s="21"/>
      <c r="G110" s="23">
        <v>791</v>
      </c>
      <c r="H110" s="66"/>
    </row>
    <row r="111" spans="1:8" ht="15.75" thickBot="1">
      <c r="A111" s="67">
        <v>3</v>
      </c>
      <c r="B111" s="18" t="s">
        <v>198</v>
      </c>
      <c r="C111" s="18"/>
      <c r="D111" s="18"/>
      <c r="E111" s="18"/>
      <c r="F111" s="18"/>
      <c r="G111" s="23">
        <v>0</v>
      </c>
      <c r="H111" s="66"/>
    </row>
    <row r="112" spans="1:8" ht="17.25" thickBot="1">
      <c r="A112" s="68"/>
      <c r="B112" s="69"/>
      <c r="C112" s="69"/>
      <c r="D112" s="69"/>
      <c r="E112" s="70" t="s">
        <v>38</v>
      </c>
      <c r="F112" s="69"/>
      <c r="G112" s="42">
        <f>SUM(G109:G111)</f>
        <v>791</v>
      </c>
      <c r="H112" s="184"/>
    </row>
    <row r="113" spans="1:8" ht="19.5" customHeight="1">
      <c r="A113" s="447" t="s">
        <v>227</v>
      </c>
      <c r="B113" s="448"/>
      <c r="C113" s="448"/>
      <c r="D113" s="448"/>
      <c r="E113" s="448"/>
      <c r="F113" s="448"/>
      <c r="G113" s="448"/>
      <c r="H113" s="449"/>
    </row>
    <row r="114" spans="1:8" ht="16.5">
      <c r="A114" s="62" t="s">
        <v>34</v>
      </c>
      <c r="B114" s="19"/>
      <c r="C114" s="19"/>
      <c r="D114" s="19"/>
      <c r="E114" s="19"/>
      <c r="F114" s="25"/>
      <c r="G114" s="277" t="s">
        <v>216</v>
      </c>
      <c r="H114" s="63"/>
    </row>
    <row r="115" spans="1:8" ht="16.5">
      <c r="A115" s="182" t="s">
        <v>35</v>
      </c>
      <c r="B115" s="441" t="s">
        <v>5</v>
      </c>
      <c r="C115" s="442"/>
      <c r="D115" s="442"/>
      <c r="E115" s="442"/>
      <c r="F115" s="443"/>
      <c r="G115" s="28" t="s">
        <v>2</v>
      </c>
      <c r="H115" s="183"/>
    </row>
    <row r="116" spans="1:8" ht="15">
      <c r="A116" s="67" t="s">
        <v>53</v>
      </c>
      <c r="B116" s="18" t="s">
        <v>84</v>
      </c>
      <c r="C116" s="18"/>
      <c r="D116" s="18"/>
      <c r="E116" s="18"/>
      <c r="F116" s="21"/>
      <c r="G116" s="27">
        <v>3646</v>
      </c>
      <c r="H116" s="66"/>
    </row>
    <row r="117" spans="1:8" ht="15">
      <c r="A117" s="67" t="s">
        <v>43</v>
      </c>
      <c r="B117" s="18" t="s">
        <v>176</v>
      </c>
      <c r="C117" s="18"/>
      <c r="D117" s="18"/>
      <c r="E117" s="18"/>
      <c r="F117" s="21"/>
      <c r="G117" s="27">
        <f>4514+10324</f>
        <v>14838</v>
      </c>
      <c r="H117" s="66"/>
    </row>
    <row r="118" spans="1:8" ht="15">
      <c r="A118" s="67" t="s">
        <v>47</v>
      </c>
      <c r="B118" s="55" t="s">
        <v>211</v>
      </c>
      <c r="C118" s="18"/>
      <c r="D118" s="18"/>
      <c r="E118" s="18"/>
      <c r="F118" s="21"/>
      <c r="G118" s="27">
        <v>0</v>
      </c>
      <c r="H118" s="66"/>
    </row>
    <row r="119" spans="1:8" ht="15">
      <c r="A119" s="67" t="s">
        <v>57</v>
      </c>
      <c r="B119" s="18" t="s">
        <v>86</v>
      </c>
      <c r="C119" s="18"/>
      <c r="D119" s="18"/>
      <c r="E119" s="18"/>
      <c r="F119" s="21"/>
      <c r="G119" s="27">
        <v>13599</v>
      </c>
      <c r="H119" s="66"/>
    </row>
    <row r="120" spans="1:8" ht="15.75" thickBot="1">
      <c r="A120" s="67">
        <v>10</v>
      </c>
      <c r="B120" s="18" t="s">
        <v>87</v>
      </c>
      <c r="C120" s="18"/>
      <c r="D120" s="18"/>
      <c r="E120" s="18"/>
      <c r="F120" s="21"/>
      <c r="G120" s="27">
        <v>3925</v>
      </c>
      <c r="H120" s="66"/>
    </row>
    <row r="121" spans="1:8" ht="17.25" thickBot="1">
      <c r="A121" s="206" t="s">
        <v>6</v>
      </c>
      <c r="B121" s="69"/>
      <c r="C121" s="69"/>
      <c r="D121" s="69"/>
      <c r="E121" s="207" t="s">
        <v>93</v>
      </c>
      <c r="F121" s="69"/>
      <c r="G121" s="42">
        <f>SUM(G116:G120)</f>
        <v>36008</v>
      </c>
      <c r="H121" s="184"/>
    </row>
    <row r="122" ht="15">
      <c r="H122" s="29"/>
    </row>
    <row r="123" ht="15">
      <c r="A123" s="17" t="s">
        <v>6</v>
      </c>
    </row>
    <row r="124" ht="15.75" thickBot="1"/>
    <row r="125" spans="1:21" ht="30" thickBot="1">
      <c r="A125" s="51" t="s">
        <v>6</v>
      </c>
      <c r="J125" s="450" t="s">
        <v>118</v>
      </c>
      <c r="K125" s="451"/>
      <c r="L125" s="451"/>
      <c r="M125" s="451"/>
      <c r="N125" s="451"/>
      <c r="O125" s="451"/>
      <c r="P125" s="451"/>
      <c r="Q125" s="451"/>
      <c r="R125" s="451"/>
      <c r="S125" s="451"/>
      <c r="T125" s="451"/>
      <c r="U125" s="452"/>
    </row>
    <row r="126" spans="1:21" ht="30" thickBot="1">
      <c r="A126" s="50"/>
      <c r="J126" s="453" t="s">
        <v>152</v>
      </c>
      <c r="K126" s="454"/>
      <c r="L126" s="454"/>
      <c r="M126" s="454"/>
      <c r="N126" s="454"/>
      <c r="O126" s="454"/>
      <c r="P126" s="454"/>
      <c r="Q126" s="454"/>
      <c r="R126" s="454"/>
      <c r="S126" s="454"/>
      <c r="T126" s="454"/>
      <c r="U126" s="455"/>
    </row>
    <row r="127" spans="1:21" ht="20.25" thickBot="1">
      <c r="A127" s="17" t="s">
        <v>6</v>
      </c>
      <c r="J127" s="456"/>
      <c r="K127" s="457"/>
      <c r="L127" s="458" t="s">
        <v>126</v>
      </c>
      <c r="M127" s="459"/>
      <c r="N127" s="459"/>
      <c r="O127" s="460"/>
      <c r="P127" s="458" t="s">
        <v>10</v>
      </c>
      <c r="Q127" s="459"/>
      <c r="R127" s="459"/>
      <c r="S127" s="460"/>
      <c r="T127" s="458" t="s">
        <v>125</v>
      </c>
      <c r="U127" s="460"/>
    </row>
    <row r="128" spans="10:21" ht="16.5">
      <c r="J128" s="176" t="s">
        <v>34</v>
      </c>
      <c r="K128" s="250" t="s">
        <v>153</v>
      </c>
      <c r="L128" s="250" t="s">
        <v>154</v>
      </c>
      <c r="M128" s="250" t="s">
        <v>155</v>
      </c>
      <c r="N128" s="251" t="s">
        <v>156</v>
      </c>
      <c r="O128" s="251" t="s">
        <v>157</v>
      </c>
      <c r="P128" s="251" t="s">
        <v>10</v>
      </c>
      <c r="Q128" s="251" t="s">
        <v>10</v>
      </c>
      <c r="R128" s="251" t="s">
        <v>10</v>
      </c>
      <c r="S128" s="251" t="s">
        <v>10</v>
      </c>
      <c r="T128" s="250" t="s">
        <v>158</v>
      </c>
      <c r="U128" s="250" t="s">
        <v>158</v>
      </c>
    </row>
    <row r="129" spans="10:21" ht="16.5">
      <c r="J129" s="78" t="s">
        <v>35</v>
      </c>
      <c r="K129" s="20" t="s">
        <v>119</v>
      </c>
      <c r="L129" s="24" t="s">
        <v>120</v>
      </c>
      <c r="M129" s="20" t="s">
        <v>122</v>
      </c>
      <c r="N129" s="24" t="s">
        <v>122</v>
      </c>
      <c r="O129" s="20" t="s">
        <v>120</v>
      </c>
      <c r="P129" s="24" t="s">
        <v>123</v>
      </c>
      <c r="Q129" s="20" t="s">
        <v>124</v>
      </c>
      <c r="R129" s="24" t="s">
        <v>122</v>
      </c>
      <c r="S129" s="20" t="s">
        <v>120</v>
      </c>
      <c r="T129" s="24" t="s">
        <v>197</v>
      </c>
      <c r="U129" s="79" t="s">
        <v>178</v>
      </c>
    </row>
    <row r="130" spans="10:21" ht="16.5">
      <c r="J130" s="78"/>
      <c r="K130" s="20"/>
      <c r="L130" s="24" t="s">
        <v>204</v>
      </c>
      <c r="M130" s="20" t="s">
        <v>159</v>
      </c>
      <c r="N130" s="190" t="s">
        <v>160</v>
      </c>
      <c r="O130" s="20" t="s">
        <v>178</v>
      </c>
      <c r="P130" s="24" t="s">
        <v>178</v>
      </c>
      <c r="Q130" s="256" t="s">
        <v>205</v>
      </c>
      <c r="R130" s="190" t="s">
        <v>160</v>
      </c>
      <c r="S130" s="20" t="s">
        <v>206</v>
      </c>
      <c r="T130" s="24"/>
      <c r="U130" s="79"/>
    </row>
    <row r="131" spans="10:21" ht="16.5">
      <c r="J131" s="78"/>
      <c r="K131" s="80"/>
      <c r="L131" s="24" t="s">
        <v>121</v>
      </c>
      <c r="M131" s="81" t="s">
        <v>121</v>
      </c>
      <c r="N131" s="24" t="s">
        <v>121</v>
      </c>
      <c r="O131" s="81" t="s">
        <v>121</v>
      </c>
      <c r="P131" s="24" t="s">
        <v>121</v>
      </c>
      <c r="Q131" s="81" t="s">
        <v>121</v>
      </c>
      <c r="R131" s="24" t="s">
        <v>121</v>
      </c>
      <c r="S131" s="81" t="s">
        <v>121</v>
      </c>
      <c r="T131" s="24" t="s">
        <v>121</v>
      </c>
      <c r="U131" s="82" t="s">
        <v>121</v>
      </c>
    </row>
    <row r="132" spans="10:21" ht="15">
      <c r="J132" s="74">
        <v>1</v>
      </c>
      <c r="K132" s="72" t="s">
        <v>127</v>
      </c>
      <c r="L132" s="71">
        <v>25318467</v>
      </c>
      <c r="M132" s="71">
        <v>0</v>
      </c>
      <c r="N132" s="71">
        <v>0</v>
      </c>
      <c r="O132" s="71">
        <f aca="true" t="shared" si="0" ref="O132:O137">L132+M132-N132</f>
        <v>25318467</v>
      </c>
      <c r="P132" s="71">
        <v>0</v>
      </c>
      <c r="Q132" s="71">
        <v>0</v>
      </c>
      <c r="R132" s="71">
        <v>0</v>
      </c>
      <c r="S132" s="71">
        <f>P132+Q132-Q132</f>
        <v>0</v>
      </c>
      <c r="T132" s="71">
        <f aca="true" t="shared" si="1" ref="T132:T137">+O132-S132</f>
        <v>25318467</v>
      </c>
      <c r="U132" s="75">
        <f aca="true" t="shared" si="2" ref="U132:U137">L132-P132</f>
        <v>25318467</v>
      </c>
    </row>
    <row r="133" spans="10:21" ht="15">
      <c r="J133" s="74">
        <v>2</v>
      </c>
      <c r="K133" s="72" t="s">
        <v>150</v>
      </c>
      <c r="L133" s="71">
        <v>49885680</v>
      </c>
      <c r="M133" s="71">
        <v>21888</v>
      </c>
      <c r="N133" s="71">
        <v>0</v>
      </c>
      <c r="O133" s="71">
        <f t="shared" si="0"/>
        <v>49907568</v>
      </c>
      <c r="P133" s="71">
        <v>11372240</v>
      </c>
      <c r="Q133" s="71">
        <v>1646803</v>
      </c>
      <c r="R133" s="71">
        <v>0</v>
      </c>
      <c r="S133" s="71">
        <f>P133+Q133-R133</f>
        <v>13019043</v>
      </c>
      <c r="T133" s="71">
        <f t="shared" si="1"/>
        <v>36888525</v>
      </c>
      <c r="U133" s="75">
        <f t="shared" si="2"/>
        <v>38513440</v>
      </c>
    </row>
    <row r="134" spans="10:21" ht="15">
      <c r="J134" s="74">
        <v>3</v>
      </c>
      <c r="K134" s="73" t="s">
        <v>128</v>
      </c>
      <c r="L134" s="71">
        <v>45054184</v>
      </c>
      <c r="M134" s="71">
        <v>181784</v>
      </c>
      <c r="N134" s="71">
        <v>1582708</v>
      </c>
      <c r="O134" s="71">
        <f t="shared" si="0"/>
        <v>43653260</v>
      </c>
      <c r="P134" s="71">
        <v>23879775</v>
      </c>
      <c r="Q134" s="71">
        <v>3241551</v>
      </c>
      <c r="R134" s="71">
        <v>1514674</v>
      </c>
      <c r="S134" s="71">
        <f>P134+Q134-R134</f>
        <v>25606652</v>
      </c>
      <c r="T134" s="71">
        <f t="shared" si="1"/>
        <v>18046608</v>
      </c>
      <c r="U134" s="75">
        <f t="shared" si="2"/>
        <v>21174409</v>
      </c>
    </row>
    <row r="135" spans="10:21" ht="15">
      <c r="J135" s="74">
        <v>4</v>
      </c>
      <c r="K135" s="72" t="s">
        <v>151</v>
      </c>
      <c r="L135" s="71">
        <v>1856578</v>
      </c>
      <c r="M135" s="71">
        <v>0</v>
      </c>
      <c r="N135" s="71">
        <v>503277</v>
      </c>
      <c r="O135" s="71">
        <f t="shared" si="0"/>
        <v>1353301</v>
      </c>
      <c r="P135" s="71">
        <v>1258619</v>
      </c>
      <c r="Q135" s="71">
        <v>117521</v>
      </c>
      <c r="R135" s="71">
        <v>290525</v>
      </c>
      <c r="S135" s="71">
        <f>P135+Q135-R135</f>
        <v>1085615</v>
      </c>
      <c r="T135" s="71">
        <f t="shared" si="1"/>
        <v>267686</v>
      </c>
      <c r="U135" s="75">
        <f t="shared" si="2"/>
        <v>597959</v>
      </c>
    </row>
    <row r="136" spans="10:21" ht="15">
      <c r="J136" s="74">
        <v>5</v>
      </c>
      <c r="K136" s="72" t="s">
        <v>161</v>
      </c>
      <c r="L136" s="71">
        <v>11000</v>
      </c>
      <c r="M136" s="71">
        <v>236765</v>
      </c>
      <c r="N136" s="71">
        <v>0</v>
      </c>
      <c r="O136" s="71">
        <f t="shared" si="0"/>
        <v>247765</v>
      </c>
      <c r="P136" s="71">
        <v>3139</v>
      </c>
      <c r="Q136" s="71">
        <v>13246</v>
      </c>
      <c r="R136" s="71">
        <v>0</v>
      </c>
      <c r="S136" s="71">
        <f>P136+Q136-R136</f>
        <v>16385</v>
      </c>
      <c r="T136" s="71">
        <f t="shared" si="1"/>
        <v>231380</v>
      </c>
      <c r="U136" s="75">
        <f t="shared" si="2"/>
        <v>7861</v>
      </c>
    </row>
    <row r="137" spans="10:21" ht="15">
      <c r="J137" s="74">
        <v>6</v>
      </c>
      <c r="K137" s="72" t="s">
        <v>129</v>
      </c>
      <c r="L137" s="71">
        <v>2165900</v>
      </c>
      <c r="M137" s="71">
        <v>72545</v>
      </c>
      <c r="N137" s="71">
        <v>9048</v>
      </c>
      <c r="O137" s="71">
        <f t="shared" si="0"/>
        <v>2229397</v>
      </c>
      <c r="P137" s="71">
        <v>1620089</v>
      </c>
      <c r="Q137" s="71">
        <v>53353</v>
      </c>
      <c r="R137" s="71">
        <v>16289</v>
      </c>
      <c r="S137" s="71">
        <f>P137+Q137-R137</f>
        <v>1657153</v>
      </c>
      <c r="T137" s="71">
        <f t="shared" si="1"/>
        <v>572244</v>
      </c>
      <c r="U137" s="75">
        <f t="shared" si="2"/>
        <v>545811</v>
      </c>
    </row>
    <row r="138" spans="10:21" ht="18.75" thickBot="1">
      <c r="J138" s="76"/>
      <c r="K138" s="77" t="s">
        <v>33</v>
      </c>
      <c r="L138" s="83">
        <f>SUM(L132:L137)</f>
        <v>124291809</v>
      </c>
      <c r="M138" s="83">
        <f aca="true" t="shared" si="3" ref="M138:U138">SUM(M132:M137)</f>
        <v>512982</v>
      </c>
      <c r="N138" s="83">
        <f t="shared" si="3"/>
        <v>2095033</v>
      </c>
      <c r="O138" s="83">
        <f t="shared" si="3"/>
        <v>122709758</v>
      </c>
      <c r="P138" s="83">
        <f t="shared" si="3"/>
        <v>38133862</v>
      </c>
      <c r="Q138" s="83">
        <f t="shared" si="3"/>
        <v>5072474</v>
      </c>
      <c r="R138" s="83">
        <f t="shared" si="3"/>
        <v>1821488</v>
      </c>
      <c r="S138" s="83">
        <f t="shared" si="3"/>
        <v>41384848</v>
      </c>
      <c r="T138" s="83">
        <f t="shared" si="3"/>
        <v>81324910</v>
      </c>
      <c r="U138" s="84">
        <f t="shared" si="3"/>
        <v>86157947</v>
      </c>
    </row>
    <row r="140" ht="16.5">
      <c r="K140" s="258" t="s">
        <v>179</v>
      </c>
    </row>
  </sheetData>
  <mergeCells count="28">
    <mergeCell ref="J127:K127"/>
    <mergeCell ref="L127:O127"/>
    <mergeCell ref="P127:S127"/>
    <mergeCell ref="T127:U127"/>
    <mergeCell ref="A113:H113"/>
    <mergeCell ref="B115:F115"/>
    <mergeCell ref="J125:U125"/>
    <mergeCell ref="J126:U126"/>
    <mergeCell ref="B90:F90"/>
    <mergeCell ref="A105:H105"/>
    <mergeCell ref="A106:H106"/>
    <mergeCell ref="B108:F108"/>
    <mergeCell ref="A64:H64"/>
    <mergeCell ref="B67:F67"/>
    <mergeCell ref="B83:F83"/>
    <mergeCell ref="A88:H88"/>
    <mergeCell ref="B41:H41"/>
    <mergeCell ref="B43:F43"/>
    <mergeCell ref="B50:F50"/>
    <mergeCell ref="B58:F58"/>
    <mergeCell ref="B13:F13"/>
    <mergeCell ref="B29:H29"/>
    <mergeCell ref="B31:F31"/>
    <mergeCell ref="A40:H40"/>
    <mergeCell ref="A1:H1"/>
    <mergeCell ref="B2:H2"/>
    <mergeCell ref="B4:F4"/>
    <mergeCell ref="B11:H11"/>
  </mergeCells>
  <printOptions/>
  <pageMargins left="0.75" right="0.75" top="1" bottom="1" header="0.5" footer="0.5"/>
  <pageSetup horizontalDpi="300" verticalDpi="300" orientation="portrait" paperSize="9" scale="95" r:id="rId1"/>
  <rowBreaks count="2" manualBreakCount="2">
    <brk id="63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zoomScale="75" zoomScaleNormal="75" workbookViewId="0" topLeftCell="A33">
      <selection activeCell="B44" sqref="B44"/>
    </sheetView>
  </sheetViews>
  <sheetFormatPr defaultColWidth="9.140625" defaultRowHeight="12.75"/>
  <cols>
    <col min="1" max="1" width="7.7109375" style="0" customWidth="1"/>
    <col min="2" max="2" width="50.7109375" style="0" customWidth="1"/>
    <col min="3" max="3" width="9.00390625" style="0" customWidth="1"/>
    <col min="4" max="4" width="19.7109375" style="0" customWidth="1"/>
    <col min="5" max="5" width="19.57421875" style="0" customWidth="1"/>
    <col min="6" max="6" width="21.7109375" style="0" customWidth="1"/>
    <col min="8" max="8" width="12.28125" style="0" bestFit="1" customWidth="1"/>
    <col min="9" max="9" width="12.421875" style="0" customWidth="1"/>
    <col min="10" max="10" width="12.8515625" style="0" customWidth="1"/>
  </cols>
  <sheetData>
    <row r="1" spans="1:6" ht="12.75" customHeight="1">
      <c r="A1" s="463" t="s">
        <v>118</v>
      </c>
      <c r="B1" s="464"/>
      <c r="C1" s="464"/>
      <c r="D1" s="464"/>
      <c r="E1" s="464"/>
      <c r="F1" s="465"/>
    </row>
    <row r="2" spans="1:6" ht="13.5" customHeight="1" thickBot="1">
      <c r="A2" s="466"/>
      <c r="B2" s="467"/>
      <c r="C2" s="467"/>
      <c r="D2" s="467"/>
      <c r="E2" s="467"/>
      <c r="F2" s="468"/>
    </row>
    <row r="3" spans="1:6" ht="24" thickTop="1">
      <c r="A3" s="469" t="s">
        <v>357</v>
      </c>
      <c r="B3" s="470"/>
      <c r="C3" s="470"/>
      <c r="D3" s="470"/>
      <c r="E3" s="470"/>
      <c r="F3" s="471"/>
    </row>
    <row r="4" spans="1:6" ht="23.25">
      <c r="A4" s="218"/>
      <c r="B4" s="213" t="s">
        <v>5</v>
      </c>
      <c r="C4" s="214" t="s">
        <v>90</v>
      </c>
      <c r="D4" s="461" t="s">
        <v>340</v>
      </c>
      <c r="E4" s="462"/>
      <c r="F4" s="241" t="s">
        <v>330</v>
      </c>
    </row>
    <row r="5" spans="1:6" ht="23.25">
      <c r="A5" s="218"/>
      <c r="B5" s="10" t="s">
        <v>6</v>
      </c>
      <c r="C5" s="214" t="s">
        <v>35</v>
      </c>
      <c r="D5" s="215" t="s">
        <v>2</v>
      </c>
      <c r="E5" s="214" t="s">
        <v>2</v>
      </c>
      <c r="F5" s="219" t="s">
        <v>2</v>
      </c>
    </row>
    <row r="6" spans="1:6" ht="12.75">
      <c r="A6" s="221"/>
      <c r="B6" s="1"/>
      <c r="C6" s="129"/>
      <c r="D6" s="126"/>
      <c r="E6" s="14"/>
      <c r="F6" s="222"/>
    </row>
    <row r="7" spans="1:6" ht="23.25">
      <c r="A7" s="223" t="s">
        <v>0</v>
      </c>
      <c r="B7" s="11" t="s">
        <v>13</v>
      </c>
      <c r="C7" s="129"/>
      <c r="D7" s="1"/>
      <c r="E7" s="16"/>
      <c r="F7" s="93"/>
    </row>
    <row r="8" spans="1:6" ht="12.75">
      <c r="A8" s="224" t="s">
        <v>6</v>
      </c>
      <c r="B8" s="1"/>
      <c r="C8" s="129"/>
      <c r="D8" s="127"/>
      <c r="E8" s="16"/>
      <c r="F8" s="93"/>
    </row>
    <row r="9" spans="1:6" ht="23.25">
      <c r="A9" s="225">
        <v>1</v>
      </c>
      <c r="B9" s="11" t="s">
        <v>14</v>
      </c>
      <c r="C9" s="40"/>
      <c r="D9" s="33"/>
      <c r="E9" s="13"/>
      <c r="F9" s="93"/>
    </row>
    <row r="10" spans="1:6" ht="20.25">
      <c r="A10" s="225"/>
      <c r="B10" s="8" t="s">
        <v>15</v>
      </c>
      <c r="C10" s="130">
        <v>1</v>
      </c>
      <c r="D10" s="128">
        <v>81275000</v>
      </c>
      <c r="E10" s="13"/>
      <c r="F10" s="124">
        <v>81275000</v>
      </c>
    </row>
    <row r="11" spans="1:6" ht="20.25">
      <c r="A11" s="225"/>
      <c r="B11" s="5"/>
      <c r="C11" s="40"/>
      <c r="D11" s="33"/>
      <c r="E11" s="15">
        <v>81275000</v>
      </c>
      <c r="F11" s="123">
        <f>F10</f>
        <v>81275000</v>
      </c>
    </row>
    <row r="12" spans="1:6" ht="23.25">
      <c r="A12" s="225">
        <v>2</v>
      </c>
      <c r="B12" s="11" t="s">
        <v>16</v>
      </c>
      <c r="C12" s="40"/>
      <c r="D12" s="1"/>
      <c r="E12" s="13"/>
      <c r="F12" s="226"/>
    </row>
    <row r="13" spans="1:6" ht="20.25">
      <c r="A13" s="225"/>
      <c r="B13" s="4" t="s">
        <v>17</v>
      </c>
      <c r="C13" s="40"/>
      <c r="D13" s="1"/>
      <c r="E13" s="15" t="s">
        <v>6</v>
      </c>
      <c r="F13" s="226"/>
    </row>
    <row r="14" spans="1:6" ht="20.25">
      <c r="A14" s="225"/>
      <c r="B14" s="8" t="s">
        <v>95</v>
      </c>
      <c r="C14" s="39"/>
      <c r="D14" s="35"/>
      <c r="E14" s="2"/>
      <c r="F14" s="226"/>
    </row>
    <row r="15" spans="1:6" ht="20.25">
      <c r="A15" s="225"/>
      <c r="B15" s="8" t="s">
        <v>96</v>
      </c>
      <c r="C15" s="39"/>
      <c r="D15" s="35"/>
      <c r="E15" s="33"/>
      <c r="F15" s="94"/>
    </row>
    <row r="16" spans="1:6" ht="20.25">
      <c r="A16" s="225"/>
      <c r="B16" s="8" t="s">
        <v>131</v>
      </c>
      <c r="C16" s="39"/>
      <c r="D16" s="35"/>
      <c r="E16" s="33"/>
      <c r="F16" s="94"/>
    </row>
    <row r="17" spans="1:6" ht="20.25">
      <c r="A17" s="225"/>
      <c r="B17" s="4" t="s">
        <v>97</v>
      </c>
      <c r="C17" s="39"/>
      <c r="D17" s="35">
        <v>1030689</v>
      </c>
      <c r="E17" s="33"/>
      <c r="F17" s="94">
        <v>1172821</v>
      </c>
    </row>
    <row r="18" spans="1:6" ht="20.25">
      <c r="A18" s="225"/>
      <c r="B18" s="8" t="s">
        <v>132</v>
      </c>
      <c r="C18" s="39"/>
      <c r="D18" s="122">
        <v>142132</v>
      </c>
      <c r="E18" s="1"/>
      <c r="F18" s="124">
        <v>142132</v>
      </c>
    </row>
    <row r="19" spans="1:6" ht="20.25">
      <c r="A19" s="225"/>
      <c r="B19" s="8"/>
      <c r="C19" s="39"/>
      <c r="D19" s="35"/>
      <c r="E19" s="86">
        <f>+D17-D18</f>
        <v>888557</v>
      </c>
      <c r="F19" s="123">
        <f>+F17-F18</f>
        <v>1030689</v>
      </c>
    </row>
    <row r="20" spans="1:6" ht="23.25">
      <c r="A20" s="225">
        <v>3</v>
      </c>
      <c r="B20" s="11" t="s">
        <v>18</v>
      </c>
      <c r="C20" s="39"/>
      <c r="D20" s="35"/>
      <c r="E20" s="33"/>
      <c r="F20" s="94"/>
    </row>
    <row r="21" spans="1:6" ht="20.25">
      <c r="A21" s="102"/>
      <c r="B21" s="9" t="s">
        <v>19</v>
      </c>
      <c r="C21" s="32" t="s">
        <v>88</v>
      </c>
      <c r="D21" s="35">
        <f>SCH!G27</f>
        <v>101578486</v>
      </c>
      <c r="E21" s="33"/>
      <c r="F21" s="94">
        <v>101731641</v>
      </c>
    </row>
    <row r="22" spans="1:6" ht="20.25">
      <c r="A22" s="225"/>
      <c r="B22" s="9" t="s">
        <v>20</v>
      </c>
      <c r="C22" s="32" t="s">
        <v>89</v>
      </c>
      <c r="D22" s="35">
        <f>SCH!G36</f>
        <v>5486439</v>
      </c>
      <c r="E22" s="134"/>
      <c r="F22" s="227">
        <v>4513408</v>
      </c>
    </row>
    <row r="23" spans="1:6" ht="20.25">
      <c r="A23" s="225"/>
      <c r="B23" s="1"/>
      <c r="C23" s="38"/>
      <c r="D23" s="35"/>
      <c r="E23" s="86">
        <f>D21+D22</f>
        <v>107064925</v>
      </c>
      <c r="F23" s="228">
        <f>F21+F22</f>
        <v>106245049</v>
      </c>
    </row>
    <row r="24" spans="1:6" ht="24" thickBot="1">
      <c r="A24" s="225"/>
      <c r="B24" s="11" t="s">
        <v>33</v>
      </c>
      <c r="C24" s="38"/>
      <c r="D24" s="35"/>
      <c r="E24" s="131">
        <f>SUM(E11:E23)</f>
        <v>189228482</v>
      </c>
      <c r="F24" s="229">
        <f>+F11+F19+F23</f>
        <v>188550738</v>
      </c>
    </row>
    <row r="25" spans="1:6" ht="21" thickTop="1">
      <c r="A25" s="225"/>
      <c r="B25" s="1"/>
      <c r="C25" s="38"/>
      <c r="D25" s="35"/>
      <c r="E25" s="33"/>
      <c r="F25" s="94"/>
    </row>
    <row r="26" spans="1:6" ht="23.25">
      <c r="A26" s="230" t="s">
        <v>3</v>
      </c>
      <c r="B26" s="11" t="s">
        <v>21</v>
      </c>
      <c r="C26" s="38"/>
      <c r="D26" s="35"/>
      <c r="E26" s="33"/>
      <c r="F26" s="94"/>
    </row>
    <row r="27" spans="1:6" ht="18">
      <c r="A27" s="224"/>
      <c r="B27" s="3"/>
      <c r="C27" s="38"/>
      <c r="D27" s="35"/>
      <c r="E27" s="132"/>
      <c r="F27" s="94"/>
    </row>
    <row r="28" spans="1:6" ht="23.25">
      <c r="A28" s="231">
        <v>1</v>
      </c>
      <c r="B28" s="11" t="s">
        <v>119</v>
      </c>
      <c r="C28" s="32" t="s">
        <v>91</v>
      </c>
      <c r="D28" s="35"/>
      <c r="E28" s="33"/>
      <c r="F28" s="94"/>
    </row>
    <row r="29" spans="1:6" ht="20.25">
      <c r="A29" s="92"/>
      <c r="B29" s="9" t="s">
        <v>22</v>
      </c>
      <c r="C29" s="39"/>
      <c r="D29" s="35">
        <v>67085831</v>
      </c>
      <c r="E29" s="33"/>
      <c r="F29" s="94">
        <v>66853344</v>
      </c>
    </row>
    <row r="30" spans="1:6" ht="20.25">
      <c r="A30" s="92"/>
      <c r="B30" s="9" t="s">
        <v>23</v>
      </c>
      <c r="C30" s="39"/>
      <c r="D30" s="122">
        <v>42827254</v>
      </c>
      <c r="E30" s="86"/>
      <c r="F30" s="124">
        <v>40825382</v>
      </c>
    </row>
    <row r="31" spans="1:6" ht="20.25">
      <c r="A31" s="92"/>
      <c r="B31" s="9" t="s">
        <v>24</v>
      </c>
      <c r="C31" s="39"/>
      <c r="D31" s="35" t="s">
        <v>6</v>
      </c>
      <c r="E31" s="33">
        <f>D29-D30</f>
        <v>24258577</v>
      </c>
      <c r="F31" s="94">
        <f>+F29-F30</f>
        <v>26027962</v>
      </c>
    </row>
    <row r="32" spans="1:6" ht="20.25">
      <c r="A32" s="92"/>
      <c r="B32" s="34"/>
      <c r="C32" s="40"/>
      <c r="D32" s="35"/>
      <c r="E32" s="133"/>
      <c r="F32" s="227"/>
    </row>
    <row r="33" spans="1:6" ht="20.25">
      <c r="A33" s="231"/>
      <c r="B33" s="12"/>
      <c r="C33" s="39"/>
      <c r="D33" s="35"/>
      <c r="E33" s="33"/>
      <c r="F33" s="94"/>
    </row>
    <row r="34" spans="1:6" ht="20.25">
      <c r="A34" s="231">
        <v>2</v>
      </c>
      <c r="B34" s="211" t="s">
        <v>164</v>
      </c>
      <c r="C34" s="39"/>
      <c r="D34" s="35"/>
      <c r="E34" s="33"/>
      <c r="F34" s="94"/>
    </row>
    <row r="35" spans="1:6" ht="23.25">
      <c r="A35" s="92"/>
      <c r="B35" s="11" t="s">
        <v>25</v>
      </c>
      <c r="C35" s="39"/>
      <c r="D35" s="35"/>
      <c r="E35" s="33"/>
      <c r="F35" s="94"/>
    </row>
    <row r="36" spans="1:6" ht="20.25">
      <c r="A36" s="92"/>
      <c r="B36" s="36" t="s">
        <v>98</v>
      </c>
      <c r="C36" s="37">
        <v>5</v>
      </c>
      <c r="D36" s="35">
        <f>SCH!G45</f>
        <v>1259500</v>
      </c>
      <c r="E36" s="33"/>
      <c r="F36" s="94">
        <v>1707867</v>
      </c>
    </row>
    <row r="37" spans="1:6" ht="20.25">
      <c r="A37" s="92"/>
      <c r="B37" s="36" t="s">
        <v>133</v>
      </c>
      <c r="C37" s="39"/>
      <c r="D37" s="35"/>
      <c r="E37" s="33"/>
      <c r="F37" s="94"/>
    </row>
    <row r="38" spans="1:6" ht="20.25">
      <c r="A38" s="92"/>
      <c r="B38" s="36" t="s">
        <v>134</v>
      </c>
      <c r="C38" s="39"/>
      <c r="D38" s="35"/>
      <c r="E38" s="33"/>
      <c r="F38" s="94"/>
    </row>
    <row r="39" spans="1:6" ht="20.25">
      <c r="A39" s="92"/>
      <c r="B39" s="36" t="s">
        <v>108</v>
      </c>
      <c r="C39" s="39"/>
      <c r="D39" s="35">
        <f>1687614</f>
        <v>1687614</v>
      </c>
      <c r="E39" s="33"/>
      <c r="F39" s="94">
        <v>1933368</v>
      </c>
    </row>
    <row r="40" spans="1:6" ht="20.25">
      <c r="A40" s="92"/>
      <c r="B40" s="36" t="s">
        <v>135</v>
      </c>
      <c r="C40" s="39"/>
      <c r="D40" s="35"/>
      <c r="E40" s="33"/>
      <c r="F40" s="94"/>
    </row>
    <row r="41" spans="1:6" ht="15.75">
      <c r="A41" s="92"/>
      <c r="B41" s="135" t="s">
        <v>352</v>
      </c>
      <c r="C41" s="39"/>
      <c r="D41" s="35"/>
      <c r="E41" s="33"/>
      <c r="F41" s="94"/>
    </row>
    <row r="42" spans="1:6" ht="15.75">
      <c r="A42" s="92"/>
      <c r="B42" s="135" t="s">
        <v>353</v>
      </c>
      <c r="C42" s="39"/>
      <c r="D42" s="35" t="s">
        <v>6</v>
      </c>
      <c r="E42" s="33"/>
      <c r="F42" s="94"/>
    </row>
    <row r="43" spans="1:6" ht="20.25">
      <c r="A43" s="92"/>
      <c r="B43" s="9" t="s">
        <v>28</v>
      </c>
      <c r="C43" s="37">
        <v>6</v>
      </c>
      <c r="D43" s="35">
        <f>SCH!G53</f>
        <v>307117.62</v>
      </c>
      <c r="E43" s="33"/>
      <c r="F43" s="94">
        <v>201775</v>
      </c>
    </row>
    <row r="44" spans="1:6" ht="20.25">
      <c r="A44" s="92"/>
      <c r="B44" s="9" t="s">
        <v>341</v>
      </c>
      <c r="C44" s="37"/>
      <c r="D44" s="35">
        <v>349900</v>
      </c>
      <c r="E44" s="33"/>
      <c r="F44" s="94">
        <v>202029</v>
      </c>
    </row>
    <row r="45" spans="1:9" ht="20.25">
      <c r="A45" s="92"/>
      <c r="B45" s="9" t="s">
        <v>26</v>
      </c>
      <c r="C45" s="39"/>
      <c r="D45" s="35">
        <f>(159683+563906+1000)-3040</f>
        <v>721549</v>
      </c>
      <c r="E45" s="33"/>
      <c r="F45" s="94">
        <v>811518</v>
      </c>
      <c r="H45">
        <f>58446596-57783799-2781</f>
        <v>660016</v>
      </c>
      <c r="I45">
        <f>171203-479</f>
        <v>170724</v>
      </c>
    </row>
    <row r="46" spans="1:9" ht="21" thickBot="1">
      <c r="A46" s="95">
        <v>0</v>
      </c>
      <c r="B46" s="232" t="s">
        <v>136</v>
      </c>
      <c r="C46" s="97"/>
      <c r="D46" s="233">
        <f>SUM(D36:D45)</f>
        <v>4325680.62</v>
      </c>
      <c r="E46" s="234"/>
      <c r="F46" s="125">
        <f>SUM(F36:F45)</f>
        <v>4856557</v>
      </c>
      <c r="I46">
        <f>+I45+H45</f>
        <v>830740</v>
      </c>
    </row>
    <row r="47" spans="1:6" ht="21" thickBot="1">
      <c r="A47" s="1"/>
      <c r="B47" s="12"/>
      <c r="C47" s="6"/>
      <c r="D47" s="53"/>
      <c r="E47" s="53"/>
      <c r="F47" s="127"/>
    </row>
    <row r="48" spans="1:6" ht="23.25">
      <c r="A48" s="216"/>
      <c r="B48" s="217"/>
      <c r="C48" s="253" t="s">
        <v>90</v>
      </c>
      <c r="D48" s="472" t="s">
        <v>340</v>
      </c>
      <c r="E48" s="473"/>
      <c r="F48" s="242" t="s">
        <v>330</v>
      </c>
    </row>
    <row r="49" spans="1:6" ht="24" thickBot="1">
      <c r="A49" s="218"/>
      <c r="B49" s="10" t="s">
        <v>6</v>
      </c>
      <c r="C49" s="235" t="s">
        <v>35</v>
      </c>
      <c r="D49" s="215" t="s">
        <v>2</v>
      </c>
      <c r="E49" s="214" t="s">
        <v>2</v>
      </c>
      <c r="F49" s="219" t="s">
        <v>2</v>
      </c>
    </row>
    <row r="50" spans="1:6" ht="23.25">
      <c r="A50" s="87" t="s">
        <v>27</v>
      </c>
      <c r="B50" s="88" t="s">
        <v>228</v>
      </c>
      <c r="C50" s="89"/>
      <c r="D50" s="90"/>
      <c r="E50" s="90"/>
      <c r="F50" s="91"/>
    </row>
    <row r="51" spans="1:6" ht="23.25">
      <c r="A51" s="92"/>
      <c r="B51" s="11" t="s">
        <v>167</v>
      </c>
      <c r="C51" s="39"/>
      <c r="D51" s="138"/>
      <c r="E51" s="53"/>
      <c r="F51" s="93"/>
    </row>
    <row r="52" spans="1:6" ht="20.25">
      <c r="A52" s="92"/>
      <c r="B52" s="36" t="s">
        <v>360</v>
      </c>
      <c r="C52" s="39"/>
      <c r="D52" s="35">
        <v>2148392</v>
      </c>
      <c r="E52" s="135"/>
      <c r="F52" s="94">
        <v>535064</v>
      </c>
    </row>
    <row r="53" spans="1:6" ht="20.25">
      <c r="A53" s="92"/>
      <c r="B53" s="9" t="s">
        <v>361</v>
      </c>
      <c r="C53" s="39"/>
      <c r="D53" s="35">
        <v>144306</v>
      </c>
      <c r="E53" s="86"/>
      <c r="F53" s="94">
        <v>120000</v>
      </c>
    </row>
    <row r="54" spans="1:11" ht="18">
      <c r="A54" s="92"/>
      <c r="B54" s="53" t="s">
        <v>362</v>
      </c>
      <c r="C54" s="39"/>
      <c r="D54" s="35">
        <f>444828+108231+1115793+1241379</f>
        <v>2910231</v>
      </c>
      <c r="E54" s="86"/>
      <c r="F54" s="94">
        <v>3193623</v>
      </c>
      <c r="K54">
        <f>360867-29403</f>
        <v>331464</v>
      </c>
    </row>
    <row r="55" spans="1:11" ht="20.25">
      <c r="A55" s="92"/>
      <c r="B55" s="36" t="s">
        <v>363</v>
      </c>
      <c r="C55" s="39"/>
      <c r="D55" s="35">
        <v>6477027</v>
      </c>
      <c r="E55" s="86" t="s">
        <v>6</v>
      </c>
      <c r="F55" s="94">
        <v>5367547</v>
      </c>
      <c r="H55">
        <f>62443095-57783798</f>
        <v>4659297</v>
      </c>
      <c r="I55">
        <f>38000*11</f>
        <v>418000</v>
      </c>
      <c r="K55">
        <v>18000</v>
      </c>
    </row>
    <row r="56" spans="1:11" ht="18">
      <c r="A56" s="92"/>
      <c r="B56" s="53" t="s">
        <v>364</v>
      </c>
      <c r="C56" s="39"/>
      <c r="D56" s="35">
        <v>725522</v>
      </c>
      <c r="E56" s="86" t="s">
        <v>6</v>
      </c>
      <c r="F56" s="94">
        <v>726557</v>
      </c>
      <c r="K56">
        <v>6620</v>
      </c>
    </row>
    <row r="57" spans="1:11" ht="15.75">
      <c r="A57" s="92"/>
      <c r="B57" s="412" t="s">
        <v>365</v>
      </c>
      <c r="C57" s="39"/>
      <c r="D57" s="122">
        <f>2638202-700000</f>
        <v>1938202</v>
      </c>
      <c r="E57" s="86"/>
      <c r="F57" s="124">
        <v>1414927</v>
      </c>
      <c r="K57">
        <v>107754</v>
      </c>
    </row>
    <row r="58" spans="1:11" ht="15.75">
      <c r="A58" s="92"/>
      <c r="B58" s="1"/>
      <c r="C58" s="39"/>
      <c r="D58" s="134">
        <f>SUM(D52:D57)</f>
        <v>14343680</v>
      </c>
      <c r="E58" s="35"/>
      <c r="F58" s="220">
        <f>SUM(F52:F57)</f>
        <v>11357718</v>
      </c>
      <c r="K58">
        <v>8500</v>
      </c>
    </row>
    <row r="59" spans="1:9" ht="21" thickBot="1">
      <c r="A59" s="92"/>
      <c r="B59" s="85" t="s">
        <v>29</v>
      </c>
      <c r="C59" s="39"/>
      <c r="D59" s="134"/>
      <c r="E59" s="136">
        <f>D46-D58</f>
        <v>-10017999.379999999</v>
      </c>
      <c r="F59" s="123">
        <f>+F46-F58</f>
        <v>-6501161</v>
      </c>
      <c r="I59" s="255"/>
    </row>
    <row r="60" spans="1:6" ht="23.25">
      <c r="A60" s="92"/>
      <c r="B60" s="11" t="s">
        <v>30</v>
      </c>
      <c r="C60" s="39"/>
      <c r="D60" s="35"/>
      <c r="E60" s="86">
        <f>SUM(E25:E59)</f>
        <v>14240577.620000001</v>
      </c>
      <c r="F60" s="212">
        <f>F31+F59</f>
        <v>19526801</v>
      </c>
    </row>
    <row r="61" spans="1:6" ht="15">
      <c r="A61" s="92"/>
      <c r="B61" s="5"/>
      <c r="C61" s="39"/>
      <c r="D61" s="35"/>
      <c r="E61" s="33"/>
      <c r="F61" s="94"/>
    </row>
    <row r="62" spans="1:8" ht="20.25">
      <c r="A62" s="92"/>
      <c r="B62" s="85" t="s">
        <v>229</v>
      </c>
      <c r="C62" s="39"/>
      <c r="D62" s="35" t="s">
        <v>6</v>
      </c>
      <c r="E62" s="33">
        <v>0</v>
      </c>
      <c r="F62" s="94">
        <v>0</v>
      </c>
      <c r="H62">
        <f>466703-427811</f>
        <v>38892</v>
      </c>
    </row>
    <row r="63" spans="1:10" ht="20.25">
      <c r="A63" s="92"/>
      <c r="B63" s="9" t="s">
        <v>31</v>
      </c>
      <c r="C63" s="39"/>
      <c r="D63" s="35"/>
      <c r="E63" s="33"/>
      <c r="F63" s="94"/>
      <c r="J63">
        <f>1039569-2831</f>
        <v>1036738</v>
      </c>
    </row>
    <row r="64" spans="1:6" ht="15">
      <c r="A64" s="92"/>
      <c r="B64" s="5"/>
      <c r="C64" s="39"/>
      <c r="D64" s="35"/>
      <c r="E64" s="33"/>
      <c r="F64" s="94"/>
    </row>
    <row r="65" spans="1:6" ht="24.75" thickBot="1">
      <c r="A65" s="92"/>
      <c r="B65" s="11" t="s">
        <v>230</v>
      </c>
      <c r="C65" s="39"/>
      <c r="D65" s="35" t="s">
        <v>6</v>
      </c>
      <c r="E65" s="290">
        <v>174987904</v>
      </c>
      <c r="F65" s="94">
        <v>169023937</v>
      </c>
    </row>
    <row r="66" spans="1:6" ht="20.25">
      <c r="A66" s="92"/>
      <c r="B66" s="9" t="s">
        <v>32</v>
      </c>
      <c r="C66" s="39"/>
      <c r="D66" s="35"/>
      <c r="E66" s="33"/>
      <c r="F66" s="94"/>
    </row>
    <row r="67" spans="1:6" ht="20.25">
      <c r="A67" s="92"/>
      <c r="B67" s="9"/>
      <c r="C67" s="39"/>
      <c r="D67" s="35"/>
      <c r="E67" s="33"/>
      <c r="F67" s="94"/>
    </row>
    <row r="68" spans="1:10" ht="24" thickBot="1">
      <c r="A68" s="95" t="s">
        <v>6</v>
      </c>
      <c r="B68" s="96" t="s">
        <v>33</v>
      </c>
      <c r="C68" s="97"/>
      <c r="D68" s="139"/>
      <c r="E68" s="137">
        <f>SUM(E60:E67)</f>
        <v>189228481.62</v>
      </c>
      <c r="F68" s="125">
        <f>+F65+F62+F59+F31</f>
        <v>188550738</v>
      </c>
      <c r="H68" s="255">
        <f>+E24-E68</f>
        <v>0.3799999952316284</v>
      </c>
      <c r="J68" s="255"/>
    </row>
    <row r="69" spans="1:8" ht="23.25">
      <c r="A69" s="98"/>
      <c r="B69" s="88"/>
      <c r="C69" s="99"/>
      <c r="D69" s="100"/>
      <c r="E69" s="257"/>
      <c r="F69" s="101"/>
      <c r="H69" s="255"/>
    </row>
    <row r="70" spans="1:8" ht="23.25">
      <c r="A70" s="102"/>
      <c r="B70" s="11"/>
      <c r="C70" s="6"/>
      <c r="D70" s="53"/>
      <c r="E70" s="413"/>
      <c r="F70" s="103"/>
      <c r="H70" s="255"/>
    </row>
    <row r="71" spans="1:6" ht="23.25">
      <c r="A71" s="102"/>
      <c r="B71" s="11"/>
      <c r="C71" s="6"/>
      <c r="D71" s="53"/>
      <c r="E71" s="248"/>
      <c r="F71" s="103"/>
    </row>
    <row r="72" spans="1:8" ht="18">
      <c r="A72" s="104"/>
      <c r="B72" s="1"/>
      <c r="C72" s="6"/>
      <c r="D72" s="53"/>
      <c r="E72" s="47" t="s">
        <v>105</v>
      </c>
      <c r="F72" s="105"/>
      <c r="H72" s="255"/>
    </row>
    <row r="73" spans="1:6" ht="18">
      <c r="A73" s="102"/>
      <c r="B73" s="1"/>
      <c r="C73" s="6"/>
      <c r="D73" s="53"/>
      <c r="E73" s="46" t="s">
        <v>104</v>
      </c>
      <c r="F73" s="105"/>
    </row>
    <row r="74" spans="1:6" ht="18">
      <c r="A74" s="102"/>
      <c r="B74" s="3"/>
      <c r="C74" s="6"/>
      <c r="D74" s="53"/>
      <c r="E74" s="46"/>
      <c r="F74" s="105"/>
    </row>
    <row r="75" spans="1:6" ht="18">
      <c r="A75" s="104" t="s">
        <v>6</v>
      </c>
      <c r="B75" s="1"/>
      <c r="C75" s="6"/>
      <c r="D75" s="53"/>
      <c r="E75" s="2"/>
      <c r="F75" s="105"/>
    </row>
    <row r="76" spans="1:6" ht="18">
      <c r="A76" s="104"/>
      <c r="B76" s="1"/>
      <c r="C76" s="6"/>
      <c r="D76" s="53"/>
      <c r="E76" s="47" t="s">
        <v>262</v>
      </c>
      <c r="F76" s="105"/>
    </row>
    <row r="77" spans="1:6" ht="18">
      <c r="A77" s="104"/>
      <c r="B77" s="1"/>
      <c r="C77" s="6"/>
      <c r="D77" s="53"/>
      <c r="E77" s="48" t="s">
        <v>266</v>
      </c>
      <c r="F77" s="105"/>
    </row>
    <row r="78" spans="1:6" ht="18">
      <c r="A78" s="106" t="s">
        <v>101</v>
      </c>
      <c r="B78" s="1"/>
      <c r="C78" s="6"/>
      <c r="D78" s="53"/>
      <c r="E78" s="48"/>
      <c r="F78" s="105"/>
    </row>
    <row r="79" spans="1:6" ht="18">
      <c r="A79" s="107" t="s">
        <v>107</v>
      </c>
      <c r="B79" s="1"/>
      <c r="C79" s="6"/>
      <c r="D79" s="53"/>
      <c r="E79" s="48"/>
      <c r="F79" s="105"/>
    </row>
    <row r="80" spans="1:6" ht="18">
      <c r="A80" s="102"/>
      <c r="B80" s="1"/>
      <c r="C80" s="6"/>
      <c r="D80" s="53"/>
      <c r="E80" s="47" t="s">
        <v>347</v>
      </c>
      <c r="F80" s="105"/>
    </row>
    <row r="81" spans="1:6" ht="18">
      <c r="A81" s="102"/>
      <c r="B81" s="1"/>
      <c r="C81" s="6"/>
      <c r="D81" s="53"/>
      <c r="E81" s="48" t="s">
        <v>266</v>
      </c>
      <c r="F81" s="105"/>
    </row>
    <row r="82" spans="1:6" ht="18">
      <c r="A82" s="104"/>
      <c r="B82" s="1"/>
      <c r="C82" s="6"/>
      <c r="D82" s="53"/>
      <c r="E82" s="48"/>
      <c r="F82" s="105"/>
    </row>
    <row r="83" spans="1:9" ht="18">
      <c r="A83" s="108" t="s">
        <v>6</v>
      </c>
      <c r="B83" s="1"/>
      <c r="C83" s="6"/>
      <c r="D83" s="53"/>
      <c r="E83" s="2"/>
      <c r="F83" s="105" t="s">
        <v>6</v>
      </c>
      <c r="I83" s="255" t="s">
        <v>6</v>
      </c>
    </row>
    <row r="84" spans="1:6" ht="18">
      <c r="A84" s="106" t="s">
        <v>103</v>
      </c>
      <c r="B84" s="1"/>
      <c r="C84" s="6"/>
      <c r="D84" s="53"/>
      <c r="E84" s="47" t="s">
        <v>6</v>
      </c>
      <c r="F84" s="105" t="s">
        <v>6</v>
      </c>
    </row>
    <row r="85" spans="1:6" ht="18">
      <c r="A85" s="106" t="s">
        <v>102</v>
      </c>
      <c r="B85" s="1"/>
      <c r="C85" s="6"/>
      <c r="D85" s="53"/>
      <c r="E85" s="1"/>
      <c r="F85" s="105"/>
    </row>
    <row r="86" spans="1:6" ht="18">
      <c r="A86" s="104" t="s">
        <v>6</v>
      </c>
      <c r="B86" s="1"/>
      <c r="C86" s="6"/>
      <c r="D86" s="54"/>
      <c r="E86" s="46" t="s">
        <v>203</v>
      </c>
      <c r="F86" s="109"/>
    </row>
    <row r="87" spans="1:6" ht="18">
      <c r="A87" s="102"/>
      <c r="B87" s="1"/>
      <c r="C87" s="6"/>
      <c r="D87" s="3"/>
      <c r="E87" s="47" t="s">
        <v>202</v>
      </c>
      <c r="F87" s="110"/>
    </row>
    <row r="88" spans="1:6" ht="18">
      <c r="A88" s="111" t="s">
        <v>111</v>
      </c>
      <c r="B88" s="1"/>
      <c r="C88" s="6"/>
      <c r="D88" s="1"/>
      <c r="E88" s="48" t="s">
        <v>106</v>
      </c>
      <c r="F88" s="110"/>
    </row>
    <row r="89" spans="1:6" ht="18.75" thickBot="1">
      <c r="A89" s="112" t="s">
        <v>354</v>
      </c>
      <c r="B89" s="113"/>
      <c r="C89" s="114"/>
      <c r="D89" s="113"/>
      <c r="E89" s="115" t="s">
        <v>354</v>
      </c>
      <c r="F89" s="116"/>
    </row>
    <row r="90" spans="1:6" ht="12.75">
      <c r="A90" s="1"/>
      <c r="B90" s="1"/>
      <c r="C90" s="6"/>
      <c r="D90" s="1"/>
      <c r="E90" s="2"/>
      <c r="F90" s="1"/>
    </row>
    <row r="91" spans="1:6" ht="12.75">
      <c r="A91" s="1"/>
      <c r="B91" s="1"/>
      <c r="C91" s="6"/>
      <c r="D91" s="1"/>
      <c r="E91" s="2"/>
      <c r="F91" s="1"/>
    </row>
    <row r="92" spans="1:6" ht="12.75">
      <c r="A92" s="1"/>
      <c r="B92" s="1"/>
      <c r="C92" s="6"/>
      <c r="D92" s="1"/>
      <c r="E92" s="2"/>
      <c r="F92" s="1"/>
    </row>
  </sheetData>
  <mergeCells count="4">
    <mergeCell ref="D4:E4"/>
    <mergeCell ref="A1:F2"/>
    <mergeCell ref="A3:F3"/>
    <mergeCell ref="D48:E48"/>
  </mergeCells>
  <printOptions horizontalCentered="1" verticalCentered="1"/>
  <pageMargins left="0" right="0" top="0" bottom="0" header="0" footer="0"/>
  <pageSetup horizontalDpi="300" verticalDpi="300" orientation="portrait" paperSize="9" scale="75" r:id="rId1"/>
  <rowBreaks count="2" manualBreakCount="2">
    <brk id="47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60" zoomScaleNormal="60" workbookViewId="0" topLeftCell="A1">
      <selection activeCell="I66" sqref="I66"/>
    </sheetView>
  </sheetViews>
  <sheetFormatPr defaultColWidth="9.140625" defaultRowHeight="12.75"/>
  <cols>
    <col min="1" max="1" width="5.00390625" style="0" customWidth="1"/>
    <col min="2" max="2" width="42.57421875" style="0" customWidth="1"/>
    <col min="3" max="3" width="9.8515625" style="0" customWidth="1"/>
    <col min="4" max="4" width="18.57421875" style="0" customWidth="1"/>
    <col min="5" max="5" width="22.140625" style="0" customWidth="1"/>
    <col min="6" max="6" width="21.7109375" style="0" customWidth="1"/>
    <col min="7" max="7" width="0" style="0" hidden="1" customWidth="1"/>
    <col min="9" max="9" width="30.57421875" style="0" customWidth="1"/>
    <col min="10" max="10" width="13.421875" style="0" bestFit="1" customWidth="1"/>
  </cols>
  <sheetData>
    <row r="1" spans="1:6" ht="25.5" customHeight="1">
      <c r="A1" s="422" t="s">
        <v>118</v>
      </c>
      <c r="B1" s="423"/>
      <c r="C1" s="423"/>
      <c r="D1" s="423"/>
      <c r="E1" s="423"/>
      <c r="F1" s="424"/>
    </row>
    <row r="2" spans="1:6" ht="25.5" customHeight="1">
      <c r="A2" s="425" t="s">
        <v>358</v>
      </c>
      <c r="B2" s="426"/>
      <c r="C2" s="426"/>
      <c r="D2" s="426"/>
      <c r="E2" s="426"/>
      <c r="F2" s="427"/>
    </row>
    <row r="3" spans="1:6" ht="25.5" customHeight="1">
      <c r="A3" s="474"/>
      <c r="B3" s="475"/>
      <c r="C3" s="476"/>
      <c r="D3" s="431" t="s">
        <v>340</v>
      </c>
      <c r="E3" s="432"/>
      <c r="F3" s="209" t="s">
        <v>342</v>
      </c>
    </row>
    <row r="4" spans="1:6" ht="25.5" customHeight="1">
      <c r="A4" s="186"/>
      <c r="B4" s="187" t="s">
        <v>5</v>
      </c>
      <c r="C4" s="188" t="s">
        <v>99</v>
      </c>
      <c r="D4" s="188" t="s">
        <v>2</v>
      </c>
      <c r="E4" s="189" t="s">
        <v>2</v>
      </c>
      <c r="F4" s="121" t="s">
        <v>2</v>
      </c>
    </row>
    <row r="5" spans="1:6" ht="25.5" customHeight="1">
      <c r="A5" s="56" t="s">
        <v>0</v>
      </c>
      <c r="B5" s="145" t="s">
        <v>137</v>
      </c>
      <c r="C5" s="145"/>
      <c r="D5" s="117"/>
      <c r="E5" s="117"/>
      <c r="F5" s="159"/>
    </row>
    <row r="6" spans="1:10" ht="25.5" customHeight="1">
      <c r="A6" s="56"/>
      <c r="B6" s="117" t="s">
        <v>253</v>
      </c>
      <c r="C6" s="117"/>
      <c r="D6" s="118">
        <v>18852635</v>
      </c>
      <c r="E6" s="152"/>
      <c r="F6" s="57">
        <v>32648805</v>
      </c>
      <c r="I6" s="411">
        <f>10757382.24+97203.05+276160+208107+277.46+1414315+6099189.84</f>
        <v>18852634.590000004</v>
      </c>
      <c r="J6" s="263"/>
    </row>
    <row r="7" spans="1:9" ht="25.5" customHeight="1">
      <c r="A7" s="56"/>
      <c r="B7" s="117" t="s">
        <v>247</v>
      </c>
      <c r="C7" s="117"/>
      <c r="D7" s="118">
        <f>1130930+33096</f>
        <v>1164026</v>
      </c>
      <c r="E7" s="152"/>
      <c r="F7" s="57">
        <v>714629</v>
      </c>
      <c r="I7" s="263"/>
    </row>
    <row r="8" spans="1:9" ht="25.5" customHeight="1">
      <c r="A8" s="56"/>
      <c r="B8" s="298" t="s">
        <v>249</v>
      </c>
      <c r="C8" s="149"/>
      <c r="D8" s="118">
        <v>-166248</v>
      </c>
      <c r="E8" s="152"/>
      <c r="F8" s="57">
        <v>-1407619</v>
      </c>
      <c r="I8" s="263"/>
    </row>
    <row r="9" spans="1:6" ht="25.5" customHeight="1">
      <c r="A9" s="56"/>
      <c r="B9" s="298" t="s">
        <v>250</v>
      </c>
      <c r="C9" s="149"/>
      <c r="D9" s="118">
        <v>96179</v>
      </c>
      <c r="E9" s="152"/>
      <c r="F9" s="57">
        <v>-23345</v>
      </c>
    </row>
    <row r="10" spans="1:6" ht="25.5" customHeight="1">
      <c r="A10" s="56"/>
      <c r="B10" s="117" t="s">
        <v>248</v>
      </c>
      <c r="C10" s="117"/>
      <c r="D10" s="118">
        <f>189137+500+55781+36000</f>
        <v>281418</v>
      </c>
      <c r="E10" s="152"/>
      <c r="F10" s="57">
        <v>60679</v>
      </c>
    </row>
    <row r="11" spans="1:6" ht="25.5" customHeight="1">
      <c r="A11" s="56"/>
      <c r="B11" s="117" t="s">
        <v>331</v>
      </c>
      <c r="C11" s="117"/>
      <c r="D11" s="154">
        <f>463149-1555363</f>
        <v>-1092214</v>
      </c>
      <c r="E11" s="152"/>
      <c r="F11" s="175">
        <v>2370217</v>
      </c>
    </row>
    <row r="12" spans="1:6" ht="25.5" customHeight="1">
      <c r="A12" s="160"/>
      <c r="B12" s="308" t="s">
        <v>259</v>
      </c>
      <c r="C12" s="117"/>
      <c r="D12" s="151"/>
      <c r="E12" s="152">
        <f>SUM(D6:D11)</f>
        <v>19135796</v>
      </c>
      <c r="F12" s="57">
        <f>SUM(F6:F11)</f>
        <v>34363366</v>
      </c>
    </row>
    <row r="13" spans="1:6" ht="25.5" customHeight="1">
      <c r="A13" s="56" t="s">
        <v>3</v>
      </c>
      <c r="B13" s="145" t="s">
        <v>138</v>
      </c>
      <c r="C13" s="145"/>
      <c r="D13" s="117"/>
      <c r="E13" s="117"/>
      <c r="F13" s="159"/>
    </row>
    <row r="14" spans="1:9" ht="25.5" customHeight="1">
      <c r="A14" s="160"/>
      <c r="B14" s="146" t="s">
        <v>233</v>
      </c>
      <c r="C14" s="150">
        <v>7</v>
      </c>
      <c r="D14" s="118">
        <f>SCH!G61</f>
        <v>4246667</v>
      </c>
      <c r="E14" s="152"/>
      <c r="F14" s="57">
        <v>5705160</v>
      </c>
      <c r="H14" s="280"/>
      <c r="I14" s="263"/>
    </row>
    <row r="15" spans="1:6" ht="25.5" customHeight="1">
      <c r="A15" s="160"/>
      <c r="B15" s="146" t="s">
        <v>199</v>
      </c>
      <c r="C15" s="150">
        <v>8</v>
      </c>
      <c r="D15" s="118">
        <f>SCH!G75</f>
        <v>11191609</v>
      </c>
      <c r="E15" s="152"/>
      <c r="F15" s="57">
        <v>20067171</v>
      </c>
    </row>
    <row r="16" spans="1:6" ht="25.5" customHeight="1">
      <c r="A16" s="160"/>
      <c r="B16" s="149" t="s">
        <v>267</v>
      </c>
      <c r="C16" s="150"/>
      <c r="D16" s="118"/>
      <c r="E16" s="152"/>
      <c r="F16" s="57"/>
    </row>
    <row r="17" spans="1:6" ht="25.5" customHeight="1">
      <c r="A17" s="160"/>
      <c r="B17" s="146" t="s">
        <v>112</v>
      </c>
      <c r="C17" s="150">
        <v>9</v>
      </c>
      <c r="D17" s="118">
        <f>SCH!G83</f>
        <v>4475418</v>
      </c>
      <c r="E17" s="152"/>
      <c r="F17" s="57">
        <v>4310032</v>
      </c>
    </row>
    <row r="18" spans="1:6" ht="25.5" customHeight="1">
      <c r="A18" s="160"/>
      <c r="B18" s="146" t="s">
        <v>113</v>
      </c>
      <c r="C18" s="150">
        <v>10</v>
      </c>
      <c r="D18" s="118">
        <f>SCH!G99</f>
        <v>1596219</v>
      </c>
      <c r="E18" s="152"/>
      <c r="F18" s="57">
        <v>1950337</v>
      </c>
    </row>
    <row r="19" spans="1:6" ht="25.5" customHeight="1">
      <c r="A19" s="160"/>
      <c r="B19" s="146" t="s">
        <v>114</v>
      </c>
      <c r="C19" s="150">
        <v>11</v>
      </c>
      <c r="D19" s="118">
        <f>SCH!G106</f>
        <v>45049</v>
      </c>
      <c r="E19" s="152"/>
      <c r="F19" s="57">
        <v>47953</v>
      </c>
    </row>
    <row r="20" spans="1:6" ht="25.5" customHeight="1">
      <c r="A20" s="160"/>
      <c r="B20" s="146" t="s">
        <v>165</v>
      </c>
      <c r="C20" s="150">
        <v>12</v>
      </c>
      <c r="D20" s="118">
        <f>SCH!G118</f>
        <v>456005</v>
      </c>
      <c r="E20" s="152"/>
      <c r="F20" s="57">
        <v>607023</v>
      </c>
    </row>
    <row r="21" spans="1:6" ht="25.5" customHeight="1">
      <c r="A21" s="160"/>
      <c r="B21" s="117" t="s">
        <v>251</v>
      </c>
      <c r="C21" s="150"/>
      <c r="D21" s="118">
        <v>1054203</v>
      </c>
      <c r="E21" s="152"/>
      <c r="F21" s="57">
        <v>518379</v>
      </c>
    </row>
    <row r="22" spans="1:6" ht="25.5" customHeight="1">
      <c r="A22" s="160"/>
      <c r="B22" s="149" t="s">
        <v>252</v>
      </c>
      <c r="C22" s="150"/>
      <c r="D22" s="118">
        <v>63140</v>
      </c>
      <c r="E22" s="152"/>
      <c r="F22" s="57">
        <v>41063</v>
      </c>
    </row>
    <row r="23" spans="1:6" ht="25.5" customHeight="1">
      <c r="A23" s="160"/>
      <c r="B23" s="150" t="s">
        <v>33</v>
      </c>
      <c r="C23" s="117"/>
      <c r="D23" s="118" t="s">
        <v>6</v>
      </c>
      <c r="E23" s="152">
        <f>SUM(D14:D22)</f>
        <v>23128310</v>
      </c>
      <c r="F23" s="57">
        <f>SUM(F14:F22)</f>
        <v>33247118</v>
      </c>
    </row>
    <row r="24" spans="1:9" ht="25.5" customHeight="1">
      <c r="A24" s="160"/>
      <c r="B24" s="147" t="s">
        <v>7</v>
      </c>
      <c r="C24" s="147"/>
      <c r="D24" s="118"/>
      <c r="E24" s="7">
        <f>SUM(E23:E23)</f>
        <v>23128310</v>
      </c>
      <c r="F24" s="162">
        <f>SUM(F23:F23)</f>
        <v>33247118</v>
      </c>
      <c r="G24" s="31"/>
      <c r="I24" s="263"/>
    </row>
    <row r="25" spans="1:6" ht="25.5" customHeight="1">
      <c r="A25" s="160"/>
      <c r="B25" s="146" t="s">
        <v>140</v>
      </c>
      <c r="C25" s="117"/>
      <c r="D25" s="118"/>
      <c r="E25" s="152"/>
      <c r="F25" s="57"/>
    </row>
    <row r="26" spans="1:6" ht="25.5" customHeight="1">
      <c r="A26" s="160"/>
      <c r="B26" s="117" t="s">
        <v>8</v>
      </c>
      <c r="C26" s="117"/>
      <c r="D26" s="118"/>
      <c r="E26" s="57">
        <f>SUM(E12-E24)</f>
        <v>-3992514</v>
      </c>
      <c r="F26" s="57">
        <v>1116258</v>
      </c>
    </row>
    <row r="27" spans="1:6" ht="25.5" customHeight="1">
      <c r="A27" s="160"/>
      <c r="B27" s="117" t="s">
        <v>9</v>
      </c>
      <c r="C27" s="117"/>
      <c r="D27" s="118"/>
      <c r="E27" s="30">
        <v>0</v>
      </c>
      <c r="F27" s="59">
        <v>17253</v>
      </c>
    </row>
    <row r="28" spans="1:6" ht="25.5" customHeight="1">
      <c r="A28" s="160"/>
      <c r="B28" s="261" t="s">
        <v>265</v>
      </c>
      <c r="C28" s="117"/>
      <c r="D28" s="118"/>
      <c r="E28" s="152">
        <f>+E26+E27</f>
        <v>-3992514</v>
      </c>
      <c r="F28" s="57">
        <f>SUM(F26+F27)</f>
        <v>1133511</v>
      </c>
    </row>
    <row r="29" spans="1:6" ht="25.5" customHeight="1">
      <c r="A29" s="160"/>
      <c r="B29" s="117" t="s">
        <v>10</v>
      </c>
      <c r="C29" s="117"/>
      <c r="D29" s="118"/>
      <c r="E29" s="30">
        <v>2113585</v>
      </c>
      <c r="F29" s="59">
        <v>2028224</v>
      </c>
    </row>
    <row r="30" spans="1:6" ht="25.5" customHeight="1">
      <c r="A30" s="160"/>
      <c r="B30" s="146" t="s">
        <v>142</v>
      </c>
      <c r="C30" s="117"/>
      <c r="D30" s="118"/>
      <c r="E30" s="152">
        <f>SUM(E28-E29)</f>
        <v>-6106099</v>
      </c>
      <c r="F30" s="57">
        <f>SUM(F28-F29)</f>
        <v>-894713</v>
      </c>
    </row>
    <row r="31" spans="1:6" ht="25.5" customHeight="1">
      <c r="A31" s="160"/>
      <c r="B31" s="156" t="s">
        <v>143</v>
      </c>
      <c r="C31" s="117"/>
      <c r="D31" s="118"/>
      <c r="E31" s="152">
        <f>SUM(E30:E30)</f>
        <v>-6106099</v>
      </c>
      <c r="F31" s="57">
        <f>SUM(F30:F30)</f>
        <v>-894713</v>
      </c>
    </row>
    <row r="32" spans="1:6" ht="25.5" customHeight="1">
      <c r="A32" s="160"/>
      <c r="B32" s="146" t="s">
        <v>166</v>
      </c>
      <c r="C32" s="117"/>
      <c r="D32" s="118"/>
      <c r="E32" s="167">
        <f>E31</f>
        <v>-6106099</v>
      </c>
      <c r="F32" s="168">
        <f>F31</f>
        <v>-894713</v>
      </c>
    </row>
    <row r="33" spans="1:6" ht="25.5" customHeight="1">
      <c r="A33" s="160"/>
      <c r="B33" s="117" t="s">
        <v>11</v>
      </c>
      <c r="C33" s="117"/>
      <c r="D33" s="118"/>
      <c r="E33" s="152"/>
      <c r="F33" s="57"/>
    </row>
    <row r="34" spans="1:6" ht="19.5" customHeight="1">
      <c r="A34" s="160"/>
      <c r="B34" s="156" t="s">
        <v>188</v>
      </c>
      <c r="C34" s="117"/>
      <c r="D34" s="118"/>
      <c r="E34" s="152"/>
      <c r="F34" s="57"/>
    </row>
    <row r="35" spans="1:6" ht="19.5" customHeight="1" thickBot="1">
      <c r="A35" s="60"/>
      <c r="B35" s="373" t="s">
        <v>189</v>
      </c>
      <c r="C35" s="163"/>
      <c r="D35" s="164"/>
      <c r="E35" s="165">
        <v>142132</v>
      </c>
      <c r="F35" s="166">
        <v>142132</v>
      </c>
    </row>
    <row r="36" spans="1:9" ht="19.5" customHeight="1">
      <c r="A36" s="140"/>
      <c r="B36" s="26"/>
      <c r="C36" s="140"/>
      <c r="D36" s="141"/>
      <c r="E36" s="142"/>
      <c r="F36" s="142" t="s">
        <v>146</v>
      </c>
      <c r="G36" s="1"/>
      <c r="H36" s="1"/>
      <c r="I36" s="1"/>
    </row>
    <row r="37" spans="1:9" ht="19.5" customHeight="1">
      <c r="A37" s="140"/>
      <c r="B37" s="26"/>
      <c r="C37" s="140"/>
      <c r="D37" s="141"/>
      <c r="E37" s="142"/>
      <c r="F37" s="142"/>
      <c r="G37" s="1"/>
      <c r="H37" s="1"/>
      <c r="I37" s="1"/>
    </row>
    <row r="38" spans="1:9" ht="19.5" customHeight="1">
      <c r="A38" s="140"/>
      <c r="B38" s="26"/>
      <c r="C38" s="140"/>
      <c r="D38" s="141"/>
      <c r="E38" s="142"/>
      <c r="F38" s="142"/>
      <c r="G38" s="1"/>
      <c r="H38" s="1"/>
      <c r="I38" s="1"/>
    </row>
    <row r="39" spans="1:9" ht="19.5" customHeight="1">
      <c r="A39" s="140"/>
      <c r="B39" s="26"/>
      <c r="C39" s="140"/>
      <c r="D39" s="141"/>
      <c r="E39" s="142"/>
      <c r="F39" s="142"/>
      <c r="G39" s="1"/>
      <c r="H39" s="1"/>
      <c r="I39" s="1"/>
    </row>
    <row r="40" spans="1:9" ht="19.5" customHeight="1">
      <c r="A40" s="140"/>
      <c r="B40" s="26"/>
      <c r="C40" s="140"/>
      <c r="D40" s="141"/>
      <c r="E40" s="142"/>
      <c r="F40" s="142"/>
      <c r="G40" s="1"/>
      <c r="H40" s="1"/>
      <c r="I40" s="1"/>
    </row>
    <row r="41" spans="1:9" ht="19.5" customHeight="1">
      <c r="A41" s="140"/>
      <c r="B41" s="26"/>
      <c r="C41" s="140"/>
      <c r="D41" s="141"/>
      <c r="E41" s="142"/>
      <c r="F41" s="142"/>
      <c r="G41" s="1"/>
      <c r="H41" s="1"/>
      <c r="I41" s="1"/>
    </row>
    <row r="42" spans="1:9" ht="19.5" customHeight="1">
      <c r="A42" s="140"/>
      <c r="B42" s="26"/>
      <c r="C42" s="140"/>
      <c r="D42" s="141"/>
      <c r="E42" s="142"/>
      <c r="F42" s="142"/>
      <c r="G42" s="1"/>
      <c r="H42" s="1"/>
      <c r="I42" s="1"/>
    </row>
    <row r="43" spans="1:9" ht="19.5" customHeight="1">
      <c r="A43" s="140"/>
      <c r="B43" s="26"/>
      <c r="C43" s="140"/>
      <c r="D43" s="141"/>
      <c r="E43" s="142"/>
      <c r="F43" s="142"/>
      <c r="G43" s="1"/>
      <c r="H43" s="1"/>
      <c r="I43" s="1"/>
    </row>
    <row r="44" spans="1:9" ht="19.5" customHeight="1">
      <c r="A44" s="140"/>
      <c r="B44" s="26"/>
      <c r="C44" s="140"/>
      <c r="D44" s="141"/>
      <c r="E44" s="142"/>
      <c r="F44" s="142"/>
      <c r="G44" s="1"/>
      <c r="H44" s="1"/>
      <c r="I44" s="1"/>
    </row>
    <row r="45" spans="1:9" ht="19.5" customHeight="1">
      <c r="A45" s="140"/>
      <c r="B45" s="26"/>
      <c r="C45" s="140"/>
      <c r="D45" s="141"/>
      <c r="E45" s="142"/>
      <c r="F45" s="142"/>
      <c r="G45" s="1"/>
      <c r="H45" s="1"/>
      <c r="I45" s="1"/>
    </row>
    <row r="46" spans="1:9" ht="19.5" customHeight="1" thickBot="1">
      <c r="A46" s="140"/>
      <c r="B46" s="26"/>
      <c r="C46" s="140"/>
      <c r="D46" s="141"/>
      <c r="E46" s="142"/>
      <c r="F46" s="142"/>
      <c r="G46" s="1"/>
      <c r="H46" s="1"/>
      <c r="I46" s="1"/>
    </row>
    <row r="47" spans="1:9" ht="19.5" customHeight="1" thickBot="1">
      <c r="A47" s="480" t="s">
        <v>147</v>
      </c>
      <c r="B47" s="481"/>
      <c r="C47" s="481"/>
      <c r="D47" s="481"/>
      <c r="E47" s="481"/>
      <c r="F47" s="482"/>
      <c r="G47" s="1"/>
      <c r="H47" s="1"/>
      <c r="I47" s="1"/>
    </row>
    <row r="48" spans="1:9" ht="19.5" customHeight="1">
      <c r="A48" s="477"/>
      <c r="B48" s="478"/>
      <c r="C48" s="478"/>
      <c r="D48" s="479" t="s">
        <v>340</v>
      </c>
      <c r="E48" s="479"/>
      <c r="F48" s="341" t="s">
        <v>342</v>
      </c>
      <c r="G48" s="1"/>
      <c r="H48" s="1"/>
      <c r="I48" s="1"/>
    </row>
    <row r="49" spans="1:9" ht="19.5" customHeight="1">
      <c r="A49" s="388"/>
      <c r="B49" s="386" t="s">
        <v>6</v>
      </c>
      <c r="C49" s="387" t="s">
        <v>99</v>
      </c>
      <c r="D49" s="188" t="s">
        <v>2</v>
      </c>
      <c r="E49" s="189" t="s">
        <v>2</v>
      </c>
      <c r="F49" s="389" t="s">
        <v>2</v>
      </c>
      <c r="G49" s="1"/>
      <c r="H49" s="1"/>
      <c r="I49" s="1"/>
    </row>
    <row r="50" spans="1:9" ht="19.5" customHeight="1">
      <c r="A50" s="160"/>
      <c r="B50" s="146"/>
      <c r="C50" s="117"/>
      <c r="D50" s="118"/>
      <c r="E50" s="152"/>
      <c r="F50" s="380"/>
      <c r="G50" s="1"/>
      <c r="H50" s="1"/>
      <c r="I50" s="1"/>
    </row>
    <row r="51" spans="1:9" ht="19.5" customHeight="1">
      <c r="A51" s="160"/>
      <c r="B51" s="149" t="s">
        <v>332</v>
      </c>
      <c r="C51" s="117"/>
      <c r="D51" s="118"/>
      <c r="E51" s="152"/>
      <c r="F51" s="380">
        <v>0</v>
      </c>
      <c r="G51" s="1"/>
      <c r="H51" s="1"/>
      <c r="I51" s="1"/>
    </row>
    <row r="52" spans="1:9" ht="19.5" customHeight="1">
      <c r="A52" s="160"/>
      <c r="B52" s="149" t="s">
        <v>333</v>
      </c>
      <c r="C52" s="117"/>
      <c r="D52" s="118"/>
      <c r="E52" s="152"/>
      <c r="F52" s="380"/>
      <c r="G52" s="1"/>
      <c r="H52" s="1"/>
      <c r="I52" s="1"/>
    </row>
    <row r="53" spans="1:9" ht="25.5" customHeight="1">
      <c r="A53" s="160"/>
      <c r="B53" s="146" t="s">
        <v>166</v>
      </c>
      <c r="C53" s="117"/>
      <c r="D53" s="118"/>
      <c r="E53" s="152">
        <f>SUM(E32:E35)</f>
        <v>-5963967</v>
      </c>
      <c r="F53" s="380">
        <v>-752581</v>
      </c>
      <c r="G53" s="1"/>
      <c r="H53" s="1"/>
      <c r="I53" s="1" t="s">
        <v>6</v>
      </c>
    </row>
    <row r="54" spans="1:9" ht="25.5" customHeight="1">
      <c r="A54" s="160"/>
      <c r="B54" s="117"/>
      <c r="C54" s="117"/>
      <c r="D54" s="118"/>
      <c r="E54" s="152"/>
      <c r="F54" s="381"/>
      <c r="G54" s="1"/>
      <c r="H54" s="1"/>
      <c r="I54" s="1"/>
    </row>
    <row r="55" spans="1:6" ht="25.5" customHeight="1">
      <c r="A55" s="161"/>
      <c r="B55" s="146" t="s">
        <v>144</v>
      </c>
      <c r="C55" s="148"/>
      <c r="D55" s="157"/>
      <c r="E55" s="153"/>
      <c r="F55" s="382"/>
    </row>
    <row r="56" spans="1:6" ht="25.5" customHeight="1">
      <c r="A56" s="161"/>
      <c r="B56" s="146" t="s">
        <v>145</v>
      </c>
      <c r="C56" s="148"/>
      <c r="D56" s="157"/>
      <c r="E56" s="152">
        <v>-169023937</v>
      </c>
      <c r="F56" s="380">
        <v>-168271356</v>
      </c>
    </row>
    <row r="57" spans="1:6" ht="25.5" customHeight="1">
      <c r="A57" s="161"/>
      <c r="B57" s="146" t="s">
        <v>171</v>
      </c>
      <c r="C57" s="147"/>
      <c r="D57" s="157"/>
      <c r="E57" s="151"/>
      <c r="F57" s="381"/>
    </row>
    <row r="58" spans="1:6" ht="25.5" customHeight="1">
      <c r="A58" s="160"/>
      <c r="B58" s="117" t="s">
        <v>12</v>
      </c>
      <c r="C58" s="117"/>
      <c r="D58" s="117"/>
      <c r="E58" s="152">
        <f>SUM(E53:E56)</f>
        <v>-174987904</v>
      </c>
      <c r="F58" s="380">
        <f>SUM(F53:F56)</f>
        <v>-169023937</v>
      </c>
    </row>
    <row r="59" spans="1:6" ht="25.5" customHeight="1">
      <c r="A59" s="383"/>
      <c r="B59" s="151"/>
      <c r="C59" s="151"/>
      <c r="D59" s="151"/>
      <c r="E59" s="151"/>
      <c r="F59" s="381"/>
    </row>
    <row r="60" spans="1:6" ht="25.5" customHeight="1">
      <c r="A60" s="384"/>
      <c r="B60" s="379"/>
      <c r="C60" s="379"/>
      <c r="D60" s="379"/>
      <c r="E60" s="379"/>
      <c r="F60" s="385"/>
    </row>
    <row r="61" spans="1:6" ht="25.5" customHeight="1">
      <c r="A61" s="143"/>
      <c r="B61" s="58"/>
      <c r="C61" s="58"/>
      <c r="D61" s="58"/>
      <c r="E61" s="58"/>
      <c r="F61" s="144"/>
    </row>
    <row r="62" spans="1:6" ht="25.5" customHeight="1">
      <c r="A62" s="143"/>
      <c r="B62" s="58"/>
      <c r="C62" s="58"/>
      <c r="D62" s="58"/>
      <c r="E62" s="58"/>
      <c r="F62" s="144"/>
    </row>
    <row r="63" spans="1:6" ht="25.5" customHeight="1">
      <c r="A63" s="143"/>
      <c r="B63" s="58"/>
      <c r="C63" s="58"/>
      <c r="D63" s="58"/>
      <c r="E63" s="47" t="s">
        <v>263</v>
      </c>
      <c r="F63" s="144"/>
    </row>
    <row r="64" spans="1:6" ht="25.5" customHeight="1">
      <c r="A64" s="143"/>
      <c r="B64" s="58"/>
      <c r="C64" s="58"/>
      <c r="D64" s="58"/>
      <c r="E64" s="236" t="s">
        <v>104</v>
      </c>
      <c r="F64" s="144"/>
    </row>
    <row r="65" spans="1:6" ht="25.5" customHeight="1">
      <c r="A65" s="143"/>
      <c r="B65" s="58"/>
      <c r="C65" s="58"/>
      <c r="D65" s="58"/>
      <c r="E65" s="58"/>
      <c r="F65" s="144"/>
    </row>
    <row r="66" spans="1:6" ht="25.5" customHeight="1">
      <c r="A66" s="143"/>
      <c r="B66" s="58"/>
      <c r="C66" s="58"/>
      <c r="D66" s="58"/>
      <c r="E66" s="58"/>
      <c r="F66" s="144"/>
    </row>
    <row r="67" spans="1:6" ht="25.5" customHeight="1">
      <c r="A67" s="143"/>
      <c r="B67" s="58"/>
      <c r="C67" s="58"/>
      <c r="D67" s="58"/>
      <c r="E67" s="58" t="s">
        <v>264</v>
      </c>
      <c r="F67" s="144"/>
    </row>
    <row r="68" spans="1:6" ht="25.5" customHeight="1">
      <c r="A68" s="143"/>
      <c r="B68" s="47"/>
      <c r="C68" s="58"/>
      <c r="D68" s="58"/>
      <c r="E68" s="48" t="s">
        <v>266</v>
      </c>
      <c r="F68" s="144"/>
    </row>
    <row r="69" spans="1:6" ht="25.5" customHeight="1">
      <c r="A69" s="143"/>
      <c r="B69" s="3"/>
      <c r="C69" s="58"/>
      <c r="D69" s="58"/>
      <c r="E69" s="1"/>
      <c r="F69" s="144"/>
    </row>
    <row r="70" spans="1:6" ht="25.5" customHeight="1">
      <c r="A70" s="106" t="s">
        <v>101</v>
      </c>
      <c r="B70" s="58"/>
      <c r="C70" s="58"/>
      <c r="D70" s="58"/>
      <c r="E70" s="1"/>
      <c r="F70" s="144"/>
    </row>
    <row r="71" spans="1:6" ht="25.5" customHeight="1">
      <c r="A71" s="106" t="s">
        <v>109</v>
      </c>
      <c r="B71" s="58"/>
      <c r="C71" s="58"/>
      <c r="D71" s="58"/>
      <c r="E71" s="58" t="s">
        <v>346</v>
      </c>
      <c r="F71" s="144"/>
    </row>
    <row r="72" spans="1:6" ht="25.5" customHeight="1">
      <c r="A72" s="120"/>
      <c r="B72" s="58"/>
      <c r="C72" s="58"/>
      <c r="D72" s="58"/>
      <c r="E72" s="48" t="s">
        <v>266</v>
      </c>
      <c r="F72" s="144"/>
    </row>
    <row r="73" spans="1:6" ht="25.5" customHeight="1">
      <c r="A73" s="143"/>
      <c r="B73" s="58"/>
      <c r="C73" s="58"/>
      <c r="D73" s="58"/>
      <c r="E73" s="1"/>
      <c r="F73" s="144"/>
    </row>
    <row r="74" spans="1:6" ht="25.5" customHeight="1">
      <c r="A74" s="106" t="s">
        <v>110</v>
      </c>
      <c r="B74" s="58"/>
      <c r="C74" s="58"/>
      <c r="D74" s="58"/>
      <c r="E74" s="58"/>
      <c r="F74" s="144"/>
    </row>
    <row r="75" spans="1:6" ht="25.5" customHeight="1">
      <c r="A75" s="111" t="s">
        <v>102</v>
      </c>
      <c r="B75" s="58"/>
      <c r="C75" s="58"/>
      <c r="D75" s="58"/>
      <c r="E75" s="47" t="s">
        <v>203</v>
      </c>
      <c r="F75" s="375"/>
    </row>
    <row r="76" spans="1:6" ht="25.5" customHeight="1">
      <c r="A76" s="143"/>
      <c r="B76" s="58"/>
      <c r="C76" s="58"/>
      <c r="D76" s="58"/>
      <c r="E76" s="47" t="s">
        <v>202</v>
      </c>
      <c r="F76" s="144"/>
    </row>
    <row r="77" spans="1:6" ht="25.5" customHeight="1">
      <c r="A77" s="111" t="s">
        <v>111</v>
      </c>
      <c r="B77" s="58"/>
      <c r="C77" s="58"/>
      <c r="D77" s="58"/>
      <c r="E77" s="48" t="s">
        <v>106</v>
      </c>
      <c r="F77" s="144"/>
    </row>
    <row r="78" spans="1:6" ht="25.5" customHeight="1" thickBot="1">
      <c r="A78" s="112" t="s">
        <v>354</v>
      </c>
      <c r="B78" s="376"/>
      <c r="C78" s="376"/>
      <c r="D78" s="376"/>
      <c r="E78" s="115" t="s">
        <v>354</v>
      </c>
      <c r="F78" s="377"/>
    </row>
    <row r="79" spans="1:6" ht="18">
      <c r="A79" s="378"/>
      <c r="B79" s="378"/>
      <c r="C79" s="378"/>
      <c r="D79" s="378"/>
      <c r="E79" s="378"/>
      <c r="F79" s="378"/>
    </row>
    <row r="80" spans="1:6" ht="18">
      <c r="A80" s="378"/>
      <c r="B80" s="378"/>
      <c r="C80" s="378"/>
      <c r="D80" s="378"/>
      <c r="E80" s="378"/>
      <c r="F80" s="378"/>
    </row>
    <row r="81" spans="1:6" ht="18">
      <c r="A81" s="378"/>
      <c r="B81" s="378"/>
      <c r="C81" s="378"/>
      <c r="D81" s="378"/>
      <c r="E81" s="378"/>
      <c r="F81" s="378"/>
    </row>
    <row r="82" spans="1:6" ht="18">
      <c r="A82" s="378"/>
      <c r="B82" s="378"/>
      <c r="C82" s="378"/>
      <c r="D82" s="378"/>
      <c r="E82" s="378"/>
      <c r="F82" s="378"/>
    </row>
    <row r="83" spans="1:6" ht="18">
      <c r="A83" s="378"/>
      <c r="B83" s="378"/>
      <c r="C83" s="378"/>
      <c r="D83" s="378"/>
      <c r="E83" s="378"/>
      <c r="F83" s="378"/>
    </row>
    <row r="84" spans="1:6" ht="18">
      <c r="A84" s="378"/>
      <c r="B84" s="378"/>
      <c r="C84" s="378"/>
      <c r="D84" s="378"/>
      <c r="E84" s="378"/>
      <c r="F84" s="378"/>
    </row>
    <row r="85" spans="1:6" ht="18">
      <c r="A85" s="378"/>
      <c r="B85" s="378"/>
      <c r="C85" s="378"/>
      <c r="D85" s="378"/>
      <c r="E85" s="378"/>
      <c r="F85" s="378"/>
    </row>
    <row r="86" spans="1:6" ht="18">
      <c r="A86" s="378"/>
      <c r="B86" s="378"/>
      <c r="C86" s="378"/>
      <c r="D86" s="378"/>
      <c r="E86" s="378"/>
      <c r="F86" s="378"/>
    </row>
    <row r="87" spans="1:6" ht="18">
      <c r="A87" s="378"/>
      <c r="B87" s="378"/>
      <c r="C87" s="378"/>
      <c r="D87" s="378"/>
      <c r="E87" s="378"/>
      <c r="F87" s="378"/>
    </row>
    <row r="88" spans="1:6" ht="18">
      <c r="A88" s="378"/>
      <c r="B88" s="378"/>
      <c r="C88" s="378"/>
      <c r="D88" s="378"/>
      <c r="E88" s="378"/>
      <c r="F88" s="378"/>
    </row>
    <row r="89" spans="1:6" ht="18">
      <c r="A89" s="378"/>
      <c r="B89" s="378"/>
      <c r="C89" s="378"/>
      <c r="D89" s="378"/>
      <c r="E89" s="378"/>
      <c r="F89" s="378"/>
    </row>
    <row r="93" spans="1:5" ht="12.75">
      <c r="A93" t="s">
        <v>6</v>
      </c>
      <c r="E93" t="s">
        <v>6</v>
      </c>
    </row>
  </sheetData>
  <mergeCells count="7">
    <mergeCell ref="A1:F1"/>
    <mergeCell ref="D3:E3"/>
    <mergeCell ref="A3:C3"/>
    <mergeCell ref="A48:C48"/>
    <mergeCell ref="D48:E48"/>
    <mergeCell ref="A2:F2"/>
    <mergeCell ref="A47:F47"/>
  </mergeCells>
  <printOptions horizontalCentered="1" verticalCentered="1"/>
  <pageMargins left="0.090551181" right="0" top="0.5" bottom="0" header="0" footer="0"/>
  <pageSetup horizontalDpi="600" verticalDpi="600" orientation="portrait" paperSize="9" scale="75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87"/>
  <sheetViews>
    <sheetView workbookViewId="0" topLeftCell="A1">
      <selection activeCell="F54" sqref="F54"/>
    </sheetView>
  </sheetViews>
  <sheetFormatPr defaultColWidth="9.140625" defaultRowHeight="12.75"/>
  <cols>
    <col min="1" max="1" width="4.28125" style="0" customWidth="1"/>
    <col min="2" max="2" width="62.421875" style="0" customWidth="1"/>
    <col min="3" max="3" width="11.421875" style="0" customWidth="1"/>
    <col min="4" max="4" width="12.57421875" style="0" customWidth="1"/>
  </cols>
  <sheetData>
    <row r="1" spans="1:4" ht="12.75">
      <c r="A1" s="483" t="s">
        <v>277</v>
      </c>
      <c r="B1" s="484"/>
      <c r="C1" s="487" t="s">
        <v>276</v>
      </c>
      <c r="D1" s="488"/>
    </row>
    <row r="2" spans="1:4" ht="12.75">
      <c r="A2" s="485"/>
      <c r="B2" s="486"/>
      <c r="C2" s="370" t="s">
        <v>373</v>
      </c>
      <c r="D2" s="390" t="s">
        <v>337</v>
      </c>
    </row>
    <row r="3" spans="1:4" ht="12.75">
      <c r="A3" s="391" t="s">
        <v>278</v>
      </c>
      <c r="B3" s="354" t="s">
        <v>279</v>
      </c>
      <c r="C3" s="355"/>
      <c r="D3" s="392"/>
    </row>
    <row r="4" spans="1:4" ht="12.75">
      <c r="A4" s="218"/>
      <c r="B4" s="355" t="s">
        <v>280</v>
      </c>
      <c r="C4" s="356">
        <v>-61.06</v>
      </c>
      <c r="D4" s="393">
        <v>-8.95</v>
      </c>
    </row>
    <row r="5" spans="1:4" ht="12.75">
      <c r="A5" s="218"/>
      <c r="B5" s="355" t="s">
        <v>281</v>
      </c>
      <c r="C5" s="356"/>
      <c r="D5" s="393"/>
    </row>
    <row r="6" spans="1:4" ht="12.75">
      <c r="A6" s="218"/>
      <c r="B6" s="355" t="s">
        <v>282</v>
      </c>
      <c r="C6" s="356">
        <v>21.14</v>
      </c>
      <c r="D6" s="393">
        <v>20.28</v>
      </c>
    </row>
    <row r="7" spans="1:4" ht="12.75">
      <c r="A7" s="218"/>
      <c r="B7" s="355" t="s">
        <v>283</v>
      </c>
      <c r="C7" s="357" t="s">
        <v>284</v>
      </c>
      <c r="D7" s="394" t="s">
        <v>284</v>
      </c>
    </row>
    <row r="8" spans="1:4" ht="12.75">
      <c r="A8" s="218"/>
      <c r="B8" s="355" t="s">
        <v>285</v>
      </c>
      <c r="C8" s="357" t="s">
        <v>284</v>
      </c>
      <c r="D8" s="394" t="s">
        <v>284</v>
      </c>
    </row>
    <row r="9" spans="1:4" ht="12.75">
      <c r="A9" s="218"/>
      <c r="B9" s="355" t="s">
        <v>321</v>
      </c>
      <c r="C9" s="356">
        <v>10.92</v>
      </c>
      <c r="D9" s="393">
        <v>-23.7</v>
      </c>
    </row>
    <row r="10" spans="1:4" ht="13.5" thickBot="1">
      <c r="A10" s="395"/>
      <c r="B10" s="365" t="s">
        <v>286</v>
      </c>
      <c r="C10" s="366">
        <v>-2.81</v>
      </c>
      <c r="D10" s="396">
        <v>-0.61</v>
      </c>
    </row>
    <row r="11" spans="1:4" ht="12.75">
      <c r="A11" s="397"/>
      <c r="B11" s="363" t="s">
        <v>287</v>
      </c>
      <c r="C11" s="364">
        <f>SUM(C4:C10)</f>
        <v>-31.81</v>
      </c>
      <c r="D11" s="398">
        <f>SUM(D4:D10)</f>
        <v>-12.979999999999997</v>
      </c>
    </row>
    <row r="12" spans="1:4" ht="12.75">
      <c r="A12" s="218"/>
      <c r="B12" s="355" t="s">
        <v>281</v>
      </c>
      <c r="C12" s="355"/>
      <c r="D12" s="392"/>
    </row>
    <row r="13" spans="1:4" ht="12.75">
      <c r="A13" s="218"/>
      <c r="B13" s="355" t="s">
        <v>288</v>
      </c>
      <c r="C13" s="356">
        <v>3.36</v>
      </c>
      <c r="D13" s="393">
        <v>-9.37</v>
      </c>
    </row>
    <row r="14" spans="1:4" ht="12.75">
      <c r="A14" s="218"/>
      <c r="B14" s="355" t="s">
        <v>289</v>
      </c>
      <c r="C14" s="356">
        <v>4.48</v>
      </c>
      <c r="D14" s="393">
        <v>22.05</v>
      </c>
    </row>
    <row r="15" spans="1:4" ht="13.5" thickBot="1">
      <c r="A15" s="395"/>
      <c r="B15" s="365" t="s">
        <v>290</v>
      </c>
      <c r="C15" s="367">
        <v>28.38</v>
      </c>
      <c r="D15" s="396">
        <v>6.87</v>
      </c>
    </row>
    <row r="16" spans="1:4" ht="12.75">
      <c r="A16" s="397"/>
      <c r="B16" s="363" t="s">
        <v>291</v>
      </c>
      <c r="C16" s="364">
        <f>C11+C13+C14+C15</f>
        <v>4.41</v>
      </c>
      <c r="D16" s="398">
        <f>D11+D13+D14+D15</f>
        <v>6.5700000000000065</v>
      </c>
    </row>
    <row r="17" spans="1:4" ht="12.75">
      <c r="A17" s="218"/>
      <c r="B17" s="355" t="s">
        <v>292</v>
      </c>
      <c r="C17" s="358" t="s">
        <v>284</v>
      </c>
      <c r="D17" s="399" t="s">
        <v>284</v>
      </c>
    </row>
    <row r="18" spans="1:4" ht="12.75">
      <c r="A18" s="218"/>
      <c r="B18" s="355" t="s">
        <v>293</v>
      </c>
      <c r="C18" s="358" t="s">
        <v>284</v>
      </c>
      <c r="D18" s="399" t="s">
        <v>284</v>
      </c>
    </row>
    <row r="19" spans="1:4" ht="12.75">
      <c r="A19" s="218"/>
      <c r="B19" s="355" t="s">
        <v>294</v>
      </c>
      <c r="C19" s="358" t="s">
        <v>284</v>
      </c>
      <c r="D19" s="399" t="s">
        <v>284</v>
      </c>
    </row>
    <row r="20" spans="1:4" ht="12.75">
      <c r="A20" s="218"/>
      <c r="B20" s="355" t="s">
        <v>295</v>
      </c>
      <c r="C20" s="358" t="s">
        <v>284</v>
      </c>
      <c r="D20" s="399" t="s">
        <v>284</v>
      </c>
    </row>
    <row r="21" spans="1:4" ht="12.75">
      <c r="A21" s="218"/>
      <c r="B21" s="355" t="s">
        <v>296</v>
      </c>
      <c r="C21" s="358" t="s">
        <v>284</v>
      </c>
      <c r="D21" s="399" t="s">
        <v>284</v>
      </c>
    </row>
    <row r="22" spans="1:4" ht="12.75">
      <c r="A22" s="218"/>
      <c r="B22" s="355" t="s">
        <v>297</v>
      </c>
      <c r="C22" s="355">
        <v>0.63</v>
      </c>
      <c r="D22" s="393">
        <v>0.41</v>
      </c>
    </row>
    <row r="23" spans="1:4" ht="12.75">
      <c r="A23" s="218"/>
      <c r="B23" s="355" t="s">
        <v>323</v>
      </c>
      <c r="C23" s="355">
        <v>2.81</v>
      </c>
      <c r="D23" s="392">
        <v>0.61</v>
      </c>
    </row>
    <row r="24" spans="1:4" ht="13.5" thickBot="1">
      <c r="A24" s="221"/>
      <c r="B24" s="158" t="s">
        <v>322</v>
      </c>
      <c r="C24" s="362">
        <v>-10.92</v>
      </c>
      <c r="D24" s="400">
        <v>23.7</v>
      </c>
    </row>
    <row r="25" spans="1:4" ht="13.5" thickBot="1">
      <c r="A25" s="401"/>
      <c r="B25" s="360" t="s">
        <v>312</v>
      </c>
      <c r="C25" s="361">
        <f>C16+C22+C23+C24</f>
        <v>-3.0700000000000003</v>
      </c>
      <c r="D25" s="402">
        <f>D16+D22+D23+D24</f>
        <v>31.290000000000006</v>
      </c>
    </row>
    <row r="26" spans="1:4" ht="12.75">
      <c r="A26" s="403" t="s">
        <v>298</v>
      </c>
      <c r="B26" s="363" t="s">
        <v>299</v>
      </c>
      <c r="C26" s="359"/>
      <c r="D26" s="404"/>
    </row>
    <row r="27" spans="1:4" ht="12.75">
      <c r="A27" s="218"/>
      <c r="B27" s="355" t="s">
        <v>300</v>
      </c>
      <c r="C27" s="356">
        <v>-6.37</v>
      </c>
      <c r="D27" s="393">
        <v>-22.93</v>
      </c>
    </row>
    <row r="28" spans="1:4" ht="12.75">
      <c r="A28" s="218"/>
      <c r="B28" s="355" t="s">
        <v>301</v>
      </c>
      <c r="C28" s="356">
        <v>2.3</v>
      </c>
      <c r="D28" s="393">
        <v>0.45</v>
      </c>
    </row>
    <row r="29" spans="1:4" ht="12.75">
      <c r="A29" s="218"/>
      <c r="B29" s="355" t="s">
        <v>302</v>
      </c>
      <c r="C29" s="358" t="s">
        <v>284</v>
      </c>
      <c r="D29" s="399" t="s">
        <v>284</v>
      </c>
    </row>
    <row r="30" spans="1:4" ht="12.75">
      <c r="A30" s="218"/>
      <c r="B30" s="355" t="s">
        <v>303</v>
      </c>
      <c r="C30" s="358" t="s">
        <v>284</v>
      </c>
      <c r="D30" s="399" t="s">
        <v>284</v>
      </c>
    </row>
    <row r="31" spans="1:4" ht="12.75">
      <c r="A31" s="218"/>
      <c r="B31" s="355" t="s">
        <v>304</v>
      </c>
      <c r="C31" s="358" t="s">
        <v>284</v>
      </c>
      <c r="D31" s="399" t="s">
        <v>284</v>
      </c>
    </row>
    <row r="32" spans="1:4" ht="12.75">
      <c r="A32" s="218"/>
      <c r="B32" s="355" t="s">
        <v>324</v>
      </c>
      <c r="C32" s="358" t="s">
        <v>284</v>
      </c>
      <c r="D32" s="399" t="s">
        <v>284</v>
      </c>
    </row>
    <row r="33" spans="1:4" ht="13.5" thickBot="1">
      <c r="A33" s="221"/>
      <c r="B33" s="158" t="s">
        <v>325</v>
      </c>
      <c r="C33" s="368" t="s">
        <v>284</v>
      </c>
      <c r="D33" s="405" t="s">
        <v>284</v>
      </c>
    </row>
    <row r="34" spans="1:4" ht="13.5" thickBot="1">
      <c r="A34" s="401"/>
      <c r="B34" s="360" t="s">
        <v>305</v>
      </c>
      <c r="C34" s="361">
        <f>C27+C28</f>
        <v>-4.07</v>
      </c>
      <c r="D34" s="402">
        <f>D27+D28</f>
        <v>-22.48</v>
      </c>
    </row>
    <row r="35" spans="1:4" ht="12.75">
      <c r="A35" s="403" t="s">
        <v>306</v>
      </c>
      <c r="B35" s="363" t="s">
        <v>307</v>
      </c>
      <c r="C35" s="359"/>
      <c r="D35" s="404"/>
    </row>
    <row r="36" spans="1:4" ht="12.75">
      <c r="A36" s="218"/>
      <c r="B36" s="355" t="s">
        <v>308</v>
      </c>
      <c r="C36" s="358" t="s">
        <v>284</v>
      </c>
      <c r="D36" s="399" t="s">
        <v>284</v>
      </c>
    </row>
    <row r="37" spans="1:4" ht="12.75">
      <c r="A37" s="218"/>
      <c r="B37" s="355" t="s">
        <v>309</v>
      </c>
      <c r="C37" s="356">
        <v>-1.54</v>
      </c>
      <c r="D37" s="393">
        <v>-12.4</v>
      </c>
    </row>
    <row r="38" spans="1:4" ht="13.5" thickBot="1">
      <c r="A38" s="221"/>
      <c r="B38" s="158" t="s">
        <v>356</v>
      </c>
      <c r="C38" s="362">
        <f>2.73+7</f>
        <v>9.73</v>
      </c>
      <c r="D38" s="406">
        <v>-0.4</v>
      </c>
    </row>
    <row r="39" spans="1:4" ht="13.5" thickBot="1">
      <c r="A39" s="401"/>
      <c r="B39" s="360" t="s">
        <v>310</v>
      </c>
      <c r="C39" s="361">
        <f>C38+C37</f>
        <v>8.190000000000001</v>
      </c>
      <c r="D39" s="402">
        <f>D38+D37</f>
        <v>-12.8</v>
      </c>
    </row>
    <row r="40" spans="1:4" ht="12.75">
      <c r="A40" s="397"/>
      <c r="B40" s="363" t="s">
        <v>311</v>
      </c>
      <c r="C40" s="369">
        <f>C25+C34+C39</f>
        <v>1.0500000000000007</v>
      </c>
      <c r="D40" s="407">
        <f>D25+D34+D39</f>
        <v>-3.989999999999995</v>
      </c>
    </row>
    <row r="41" spans="1:4" ht="12.75">
      <c r="A41" s="218"/>
      <c r="B41" s="355" t="s">
        <v>348</v>
      </c>
      <c r="C41" s="355">
        <v>2.02</v>
      </c>
      <c r="D41" s="392">
        <v>6.01</v>
      </c>
    </row>
    <row r="42" spans="1:4" ht="13.5" thickBot="1">
      <c r="A42" s="221"/>
      <c r="B42" s="158" t="s">
        <v>349</v>
      </c>
      <c r="C42" s="362">
        <f>C40+C41</f>
        <v>3.0700000000000007</v>
      </c>
      <c r="D42" s="362">
        <f>D40+D41</f>
        <v>2.020000000000005</v>
      </c>
    </row>
    <row r="43" spans="1:4" ht="12.75">
      <c r="A43" s="98"/>
      <c r="B43" s="371"/>
      <c r="C43" s="371"/>
      <c r="D43" s="408"/>
    </row>
    <row r="44" spans="1:4" ht="12.75">
      <c r="A44" s="102"/>
      <c r="B44" s="1"/>
      <c r="C44" s="1"/>
      <c r="D44" s="110"/>
    </row>
    <row r="45" spans="1:4" ht="12.75">
      <c r="A45" s="102"/>
      <c r="B45" s="1"/>
      <c r="C45" s="1"/>
      <c r="D45" s="110"/>
    </row>
    <row r="46" spans="1:4" ht="12.75">
      <c r="A46" s="102" t="s">
        <v>328</v>
      </c>
      <c r="B46" s="1"/>
      <c r="C46" s="1"/>
      <c r="D46" s="110"/>
    </row>
    <row r="47" spans="1:4" ht="12.75">
      <c r="A47" s="409" t="s">
        <v>329</v>
      </c>
      <c r="B47" s="1"/>
      <c r="C47" s="372"/>
      <c r="D47" s="110"/>
    </row>
    <row r="48" spans="1:4" ht="12.75">
      <c r="A48" s="102"/>
      <c r="B48" s="1"/>
      <c r="C48" s="1"/>
      <c r="D48" s="110"/>
    </row>
    <row r="49" spans="1:4" ht="12.75">
      <c r="A49" s="102"/>
      <c r="B49" s="1"/>
      <c r="C49" s="1"/>
      <c r="D49" s="110"/>
    </row>
    <row r="50" spans="1:4" ht="12.75">
      <c r="A50" s="1" t="s">
        <v>313</v>
      </c>
      <c r="B50" s="1"/>
      <c r="C50" s="1" t="s">
        <v>346</v>
      </c>
      <c r="D50" s="110"/>
    </row>
    <row r="51" spans="1:4" ht="12.75">
      <c r="A51" s="1" t="s">
        <v>314</v>
      </c>
      <c r="B51" s="1"/>
      <c r="C51" s="410" t="s">
        <v>338</v>
      </c>
      <c r="D51" s="110"/>
    </row>
    <row r="52" spans="1:4" ht="12.75">
      <c r="A52" s="102"/>
      <c r="B52" s="1"/>
      <c r="C52" s="1"/>
      <c r="D52" s="110"/>
    </row>
    <row r="53" spans="1:4" ht="12.75">
      <c r="A53" s="102" t="s">
        <v>315</v>
      </c>
      <c r="B53" s="1"/>
      <c r="C53" s="1"/>
      <c r="D53" s="110"/>
    </row>
    <row r="54" spans="1:4" ht="12.75">
      <c r="A54" s="102" t="s">
        <v>350</v>
      </c>
      <c r="B54" s="1"/>
      <c r="C54" s="1"/>
      <c r="D54" s="110"/>
    </row>
    <row r="55" spans="1:4" ht="12.75">
      <c r="A55" s="102"/>
      <c r="B55" s="1"/>
      <c r="C55" s="1"/>
      <c r="D55" s="110"/>
    </row>
    <row r="56" spans="1:4" ht="12.75">
      <c r="A56" s="102" t="s">
        <v>316</v>
      </c>
      <c r="B56" s="1"/>
      <c r="C56" s="1"/>
      <c r="D56" s="110"/>
    </row>
    <row r="57" spans="1:4" ht="12.75">
      <c r="A57" s="102" t="s">
        <v>326</v>
      </c>
      <c r="B57" s="1"/>
      <c r="C57" s="1"/>
      <c r="D57" s="110"/>
    </row>
    <row r="58" spans="1:4" ht="12.75">
      <c r="A58" s="102" t="s">
        <v>343</v>
      </c>
      <c r="B58" s="1"/>
      <c r="C58" s="1"/>
      <c r="D58" s="110"/>
    </row>
    <row r="59" spans="1:4" ht="12.75">
      <c r="A59" s="102" t="s">
        <v>327</v>
      </c>
      <c r="B59" s="1"/>
      <c r="C59" s="1"/>
      <c r="D59" s="110"/>
    </row>
    <row r="60" spans="1:4" ht="12.75">
      <c r="A60" s="102" t="s">
        <v>359</v>
      </c>
      <c r="B60" s="1"/>
      <c r="C60" s="1"/>
      <c r="D60" s="110"/>
    </row>
    <row r="61" spans="1:4" ht="12.75">
      <c r="A61" s="102" t="s">
        <v>317</v>
      </c>
      <c r="B61" s="1"/>
      <c r="C61" s="1"/>
      <c r="D61" s="110"/>
    </row>
    <row r="62" spans="1:4" ht="12.75">
      <c r="A62" s="102"/>
      <c r="B62" s="1"/>
      <c r="C62" s="1"/>
      <c r="D62" s="110"/>
    </row>
    <row r="63" spans="1:4" ht="12.75">
      <c r="A63" s="102"/>
      <c r="B63" s="1" t="s">
        <v>318</v>
      </c>
      <c r="C63" s="1"/>
      <c r="D63" s="110"/>
    </row>
    <row r="64" spans="1:4" ht="12.75">
      <c r="A64" s="102"/>
      <c r="B64" s="1" t="s">
        <v>319</v>
      </c>
      <c r="C64" s="1"/>
      <c r="D64" s="110"/>
    </row>
    <row r="65" spans="1:4" ht="12.75">
      <c r="A65" s="102"/>
      <c r="B65" s="1"/>
      <c r="C65" s="1"/>
      <c r="D65" s="110"/>
    </row>
    <row r="66" spans="1:4" ht="12.75">
      <c r="A66" s="102"/>
      <c r="B66" s="1"/>
      <c r="C66" s="1"/>
      <c r="D66" s="110"/>
    </row>
    <row r="67" spans="1:4" ht="12.75">
      <c r="A67" s="102" t="s">
        <v>320</v>
      </c>
      <c r="B67" s="1"/>
      <c r="C67" s="1"/>
      <c r="D67" s="110"/>
    </row>
    <row r="68" spans="1:4" ht="13.5" thickBot="1">
      <c r="A68" s="374" t="s">
        <v>351</v>
      </c>
      <c r="B68" s="113"/>
      <c r="C68" s="113"/>
      <c r="D68" s="116"/>
    </row>
    <row r="82" spans="3:4" ht="12.75">
      <c r="C82">
        <v>1933368</v>
      </c>
      <c r="D82">
        <v>1687614</v>
      </c>
    </row>
    <row r="83" spans="3:4" ht="12.75">
      <c r="C83">
        <v>811519</v>
      </c>
      <c r="D83">
        <v>721549</v>
      </c>
    </row>
    <row r="84" spans="3:4" ht="12.75">
      <c r="C84">
        <f>SUM(C82:C83)</f>
        <v>2744887</v>
      </c>
      <c r="D84">
        <f>SUM(D82:D83)</f>
        <v>2409163</v>
      </c>
    </row>
    <row r="85" spans="3:4" ht="12.75">
      <c r="C85">
        <v>202029</v>
      </c>
      <c r="D85">
        <v>349900</v>
      </c>
    </row>
    <row r="86" spans="3:4" ht="12.75">
      <c r="C86">
        <f>C84+C85</f>
        <v>2946916</v>
      </c>
      <c r="D86">
        <f>D84+D85</f>
        <v>2759063</v>
      </c>
    </row>
    <row r="87" ht="12.75">
      <c r="D87">
        <f>C86-D86</f>
        <v>187853</v>
      </c>
    </row>
  </sheetData>
  <mergeCells count="2">
    <mergeCell ref="A1:B2"/>
    <mergeCell ref="C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2"/>
  <sheetViews>
    <sheetView workbookViewId="0" topLeftCell="F107">
      <selection activeCell="F124" sqref="F124"/>
    </sheetView>
  </sheetViews>
  <sheetFormatPr defaultColWidth="9.140625" defaultRowHeight="12.75"/>
  <cols>
    <col min="1" max="1" width="4.7109375" style="17" customWidth="1"/>
    <col min="2" max="2" width="8.7109375" style="17" customWidth="1"/>
    <col min="3" max="5" width="9.140625" style="17" customWidth="1"/>
    <col min="6" max="6" width="12.00390625" style="17" customWidth="1"/>
    <col min="7" max="8" width="17.7109375" style="17" customWidth="1"/>
    <col min="9" max="9" width="9.140625" style="17" customWidth="1"/>
    <col min="10" max="10" width="3.7109375" style="17" customWidth="1"/>
    <col min="11" max="11" width="25.7109375" style="17" customWidth="1"/>
    <col min="12" max="12" width="14.7109375" style="17" customWidth="1"/>
    <col min="13" max="13" width="15.7109375" style="17" customWidth="1"/>
    <col min="14" max="14" width="13.7109375" style="17" customWidth="1"/>
    <col min="15" max="16" width="14.7109375" style="17" customWidth="1"/>
    <col min="17" max="17" width="15.7109375" style="17" bestFit="1" customWidth="1"/>
    <col min="18" max="21" width="14.7109375" style="17" customWidth="1"/>
    <col min="22" max="16384" width="9.140625" style="17" customWidth="1"/>
  </cols>
  <sheetData>
    <row r="1" spans="1:8" ht="19.5" customHeight="1" thickBot="1">
      <c r="A1" s="492" t="s">
        <v>194</v>
      </c>
      <c r="B1" s="493"/>
      <c r="C1" s="493"/>
      <c r="D1" s="493"/>
      <c r="E1" s="493"/>
      <c r="F1" s="493"/>
      <c r="G1" s="493"/>
      <c r="H1" s="494"/>
    </row>
    <row r="2" spans="1:8" ht="19.5" customHeight="1" thickBot="1">
      <c r="A2" s="326"/>
      <c r="B2" s="500" t="s">
        <v>193</v>
      </c>
      <c r="C2" s="500"/>
      <c r="D2" s="500"/>
      <c r="E2" s="500"/>
      <c r="F2" s="500"/>
      <c r="G2" s="500"/>
      <c r="H2" s="501"/>
    </row>
    <row r="3" spans="1:8" ht="19.5" customHeight="1">
      <c r="A3" s="414" t="s">
        <v>6</v>
      </c>
      <c r="B3" s="320"/>
      <c r="C3" s="320"/>
      <c r="D3" s="320"/>
      <c r="E3" s="320"/>
      <c r="F3" s="320"/>
      <c r="G3" s="322" t="s">
        <v>340</v>
      </c>
      <c r="H3" s="332" t="s">
        <v>342</v>
      </c>
    </row>
    <row r="4" spans="1:8" ht="19.5" customHeight="1" thickBot="1">
      <c r="A4" s="68"/>
      <c r="B4" s="503" t="s">
        <v>5</v>
      </c>
      <c r="C4" s="503"/>
      <c r="D4" s="503"/>
      <c r="E4" s="503"/>
      <c r="F4" s="504"/>
      <c r="G4" s="330" t="s">
        <v>2</v>
      </c>
      <c r="H4" s="331" t="s">
        <v>2</v>
      </c>
    </row>
    <row r="5" spans="1:8" ht="19.5" customHeight="1">
      <c r="A5" s="65"/>
      <c r="B5" s="22" t="s">
        <v>36</v>
      </c>
      <c r="C5" s="18"/>
      <c r="D5" s="18"/>
      <c r="E5" s="18"/>
      <c r="F5" s="21"/>
      <c r="G5" s="21"/>
      <c r="H5" s="177"/>
    </row>
    <row r="6" spans="1:8" ht="19.5" customHeight="1">
      <c r="A6" s="65"/>
      <c r="B6" s="18" t="s">
        <v>37</v>
      </c>
      <c r="C6" s="18"/>
      <c r="D6" s="18"/>
      <c r="E6" s="18"/>
      <c r="F6" s="21"/>
      <c r="G6" s="23">
        <v>90000000</v>
      </c>
      <c r="H6" s="66">
        <v>90000000</v>
      </c>
    </row>
    <row r="7" spans="1:8" ht="19.5" customHeight="1">
      <c r="A7" s="65"/>
      <c r="B7" s="18"/>
      <c r="C7" s="18"/>
      <c r="D7" s="18"/>
      <c r="E7" s="24" t="s">
        <v>38</v>
      </c>
      <c r="F7" s="21"/>
      <c r="G7" s="41">
        <v>90000000</v>
      </c>
      <c r="H7" s="178">
        <v>90000000</v>
      </c>
    </row>
    <row r="8" spans="1:8" ht="19.5" customHeight="1">
      <c r="A8" s="65"/>
      <c r="B8" s="22" t="s">
        <v>39</v>
      </c>
      <c r="C8" s="18"/>
      <c r="D8" s="18"/>
      <c r="E8" s="18"/>
      <c r="F8" s="21"/>
      <c r="G8" s="23"/>
      <c r="H8" s="66"/>
    </row>
    <row r="9" spans="1:8" ht="19.5" customHeight="1" thickBot="1">
      <c r="A9" s="65"/>
      <c r="B9" s="26" t="s">
        <v>163</v>
      </c>
      <c r="C9" s="18"/>
      <c r="D9" s="18"/>
      <c r="E9" s="18"/>
      <c r="F9" s="21"/>
      <c r="G9" s="23">
        <v>81275000</v>
      </c>
      <c r="H9" s="66">
        <v>81275000</v>
      </c>
    </row>
    <row r="10" spans="1:8" ht="19.5" customHeight="1" thickBot="1">
      <c r="A10" s="68"/>
      <c r="B10" s="69"/>
      <c r="C10" s="69"/>
      <c r="D10" s="69"/>
      <c r="E10" s="180" t="s">
        <v>38</v>
      </c>
      <c r="F10" s="69"/>
      <c r="G10" s="42">
        <v>81275000</v>
      </c>
      <c r="H10" s="43">
        <v>81275000</v>
      </c>
    </row>
    <row r="11" spans="1:8" ht="19.5" customHeight="1" thickBot="1">
      <c r="A11" s="293"/>
      <c r="B11" s="505" t="s">
        <v>149</v>
      </c>
      <c r="C11" s="498"/>
      <c r="D11" s="498"/>
      <c r="E11" s="498"/>
      <c r="F11" s="498"/>
      <c r="G11" s="498"/>
      <c r="H11" s="499"/>
    </row>
    <row r="12" spans="1:8" ht="19.5" customHeight="1">
      <c r="A12" s="334" t="s">
        <v>34</v>
      </c>
      <c r="B12" s="185"/>
      <c r="C12" s="320"/>
      <c r="D12" s="320"/>
      <c r="E12" s="320"/>
      <c r="F12" s="321"/>
      <c r="G12" s="322" t="s">
        <v>340</v>
      </c>
      <c r="H12" s="332" t="s">
        <v>342</v>
      </c>
    </row>
    <row r="13" spans="1:8" ht="19.5" customHeight="1" thickBot="1">
      <c r="A13" s="335" t="s">
        <v>35</v>
      </c>
      <c r="B13" s="506" t="s">
        <v>5</v>
      </c>
      <c r="C13" s="490"/>
      <c r="D13" s="490"/>
      <c r="E13" s="490"/>
      <c r="F13" s="491"/>
      <c r="G13" s="324" t="s">
        <v>2</v>
      </c>
      <c r="H13" s="325" t="s">
        <v>2</v>
      </c>
    </row>
    <row r="14" spans="1:8" ht="19.5" customHeight="1">
      <c r="A14" s="299" t="s">
        <v>40</v>
      </c>
      <c r="B14" s="302" t="s">
        <v>115</v>
      </c>
      <c r="C14" s="18"/>
      <c r="D14" s="18"/>
      <c r="E14" s="18"/>
      <c r="F14" s="21" t="s">
        <v>6</v>
      </c>
      <c r="G14" s="249">
        <f>3496529+1091200+5972811+22108105</f>
        <v>32668645</v>
      </c>
      <c r="H14" s="260">
        <v>32668645</v>
      </c>
    </row>
    <row r="15" spans="1:9" ht="19.5" customHeight="1">
      <c r="A15" s="299" t="s">
        <v>41</v>
      </c>
      <c r="B15" s="302" t="s">
        <v>116</v>
      </c>
      <c r="C15" s="18"/>
      <c r="D15" s="18"/>
      <c r="E15" s="18"/>
      <c r="F15" s="21" t="s">
        <v>6</v>
      </c>
      <c r="G15" s="249">
        <f>7561184+9926537+5316556</f>
        <v>22804277</v>
      </c>
      <c r="H15" s="259">
        <v>22804240</v>
      </c>
      <c r="I15" s="18"/>
    </row>
    <row r="16" spans="1:8" ht="19.5" customHeight="1">
      <c r="A16" s="61"/>
      <c r="B16" s="61" t="s">
        <v>42</v>
      </c>
      <c r="C16" s="18"/>
      <c r="D16" s="18"/>
      <c r="E16" s="18"/>
      <c r="F16" s="21"/>
      <c r="G16" s="23"/>
      <c r="H16" s="66"/>
    </row>
    <row r="17" spans="1:11" ht="19.5" customHeight="1">
      <c r="A17" s="61"/>
      <c r="B17" s="300" t="s">
        <v>180</v>
      </c>
      <c r="C17" s="18"/>
      <c r="D17" s="18"/>
      <c r="E17" s="18"/>
      <c r="F17" s="21"/>
      <c r="G17" s="23"/>
      <c r="H17" s="66"/>
      <c r="K17" s="254"/>
    </row>
    <row r="18" spans="1:8" ht="19.5" customHeight="1">
      <c r="A18" s="61"/>
      <c r="B18" s="301" t="s">
        <v>268</v>
      </c>
      <c r="C18" s="18"/>
      <c r="D18" s="18"/>
      <c r="E18" s="18"/>
      <c r="F18" s="21"/>
      <c r="G18" s="23"/>
      <c r="H18" s="66"/>
    </row>
    <row r="19" spans="1:8" ht="19.5" customHeight="1">
      <c r="A19" s="299" t="s">
        <v>43</v>
      </c>
      <c r="B19" s="61" t="s">
        <v>44</v>
      </c>
      <c r="C19" s="18"/>
      <c r="D19" s="18"/>
      <c r="E19" s="18"/>
      <c r="F19" s="21"/>
      <c r="G19" s="249">
        <f>2096385+32221386+11589371</f>
        <v>45907142</v>
      </c>
      <c r="H19" s="259">
        <v>45907142</v>
      </c>
    </row>
    <row r="20" spans="1:8" ht="19.5" customHeight="1">
      <c r="A20" s="61"/>
      <c r="B20" s="302" t="s">
        <v>45</v>
      </c>
      <c r="C20" s="18"/>
      <c r="D20" s="18"/>
      <c r="E20" s="18"/>
      <c r="F20" s="21"/>
      <c r="G20" s="23"/>
      <c r="H20" s="66"/>
    </row>
    <row r="21" spans="1:8" ht="19.5" customHeight="1">
      <c r="A21" s="61"/>
      <c r="B21" s="302" t="s">
        <v>260</v>
      </c>
      <c r="C21" s="18"/>
      <c r="D21" s="18"/>
      <c r="E21" s="18"/>
      <c r="F21" s="21"/>
      <c r="G21" s="23"/>
      <c r="H21" s="66"/>
    </row>
    <row r="22" spans="1:8" ht="19.5" customHeight="1">
      <c r="A22" s="61"/>
      <c r="B22" s="302" t="s">
        <v>46</v>
      </c>
      <c r="C22" s="18"/>
      <c r="D22" s="18"/>
      <c r="E22" s="18"/>
      <c r="F22" s="21"/>
      <c r="G22" s="23"/>
      <c r="H22" s="66"/>
    </row>
    <row r="23" spans="1:8" ht="19.5" customHeight="1">
      <c r="A23" s="61"/>
      <c r="B23" s="300" t="s">
        <v>269</v>
      </c>
      <c r="C23" s="18"/>
      <c r="D23" s="18"/>
      <c r="E23" s="18"/>
      <c r="F23" s="18"/>
      <c r="G23" s="27"/>
      <c r="H23" s="66"/>
    </row>
    <row r="24" spans="1:8" ht="19.5" customHeight="1">
      <c r="A24" s="61">
        <v>4</v>
      </c>
      <c r="B24" s="303" t="s">
        <v>217</v>
      </c>
      <c r="C24" s="18"/>
      <c r="D24" s="18"/>
      <c r="E24" s="18"/>
      <c r="F24" s="21"/>
      <c r="G24" s="23">
        <v>198422</v>
      </c>
      <c r="H24" s="66">
        <v>351614</v>
      </c>
    </row>
    <row r="25" spans="1:8" ht="19.5" customHeight="1">
      <c r="A25" s="61"/>
      <c r="B25" s="303" t="s">
        <v>270</v>
      </c>
      <c r="C25" s="18"/>
      <c r="D25" s="18"/>
      <c r="E25" s="18"/>
      <c r="F25" s="21"/>
      <c r="G25" s="23"/>
      <c r="H25" s="66"/>
    </row>
    <row r="26" spans="1:8" ht="19.5" customHeight="1" thickBot="1">
      <c r="A26" s="61"/>
      <c r="B26" s="303" t="s">
        <v>219</v>
      </c>
      <c r="C26" s="18"/>
      <c r="D26" s="18"/>
      <c r="E26" s="18"/>
      <c r="F26" s="21"/>
      <c r="G26" s="23"/>
      <c r="H26" s="66"/>
    </row>
    <row r="27" spans="1:8" ht="19.5" customHeight="1" thickBot="1">
      <c r="A27" s="293"/>
      <c r="B27" s="309" t="s">
        <v>6</v>
      </c>
      <c r="C27" s="294"/>
      <c r="D27" s="294"/>
      <c r="E27" s="295" t="s">
        <v>38</v>
      </c>
      <c r="F27" s="310"/>
      <c r="G27" s="311">
        <f>SUM(G14:G24)</f>
        <v>101578486</v>
      </c>
      <c r="H27" s="184">
        <f>+H14+H15+H19+H24</f>
        <v>101731641</v>
      </c>
    </row>
    <row r="28" spans="1:8" ht="19.5" customHeight="1" thickBot="1">
      <c r="A28" s="302" t="s">
        <v>261</v>
      </c>
      <c r="B28" s="22"/>
      <c r="C28" s="18"/>
      <c r="D28" s="18"/>
      <c r="E28" s="22"/>
      <c r="F28" s="18"/>
      <c r="G28" s="44"/>
      <c r="H28" s="306"/>
    </row>
    <row r="29" spans="1:8" ht="19.5" customHeight="1" thickBot="1">
      <c r="A29" s="293"/>
      <c r="B29" s="498" t="s">
        <v>148</v>
      </c>
      <c r="C29" s="498"/>
      <c r="D29" s="498"/>
      <c r="E29" s="498"/>
      <c r="F29" s="498"/>
      <c r="G29" s="498"/>
      <c r="H29" s="499"/>
    </row>
    <row r="30" spans="1:8" ht="19.5" customHeight="1">
      <c r="A30" s="319" t="s">
        <v>34</v>
      </c>
      <c r="B30" s="320"/>
      <c r="C30" s="320"/>
      <c r="D30" s="320"/>
      <c r="E30" s="320"/>
      <c r="F30" s="321"/>
      <c r="G30" s="322" t="s">
        <v>340</v>
      </c>
      <c r="H30" s="332" t="s">
        <v>342</v>
      </c>
    </row>
    <row r="31" spans="1:8" ht="19.5" customHeight="1" thickBot="1">
      <c r="A31" s="323" t="s">
        <v>35</v>
      </c>
      <c r="B31" s="489" t="s">
        <v>5</v>
      </c>
      <c r="C31" s="490"/>
      <c r="D31" s="490"/>
      <c r="E31" s="490"/>
      <c r="F31" s="491"/>
      <c r="G31" s="324" t="s">
        <v>2</v>
      </c>
      <c r="H31" s="325" t="s">
        <v>2</v>
      </c>
    </row>
    <row r="32" spans="1:8" ht="19.5" customHeight="1">
      <c r="A32" s="67" t="s">
        <v>40</v>
      </c>
      <c r="B32" s="18" t="s">
        <v>246</v>
      </c>
      <c r="C32" s="18"/>
      <c r="D32" s="18"/>
      <c r="E32" s="18"/>
      <c r="F32" s="21"/>
      <c r="G32" s="23">
        <v>561338</v>
      </c>
      <c r="H32" s="66">
        <v>288307</v>
      </c>
    </row>
    <row r="33" spans="1:8" ht="19.5" customHeight="1">
      <c r="A33" s="67" t="s">
        <v>41</v>
      </c>
      <c r="B33" s="26" t="s">
        <v>173</v>
      </c>
      <c r="C33" s="18"/>
      <c r="D33" s="18"/>
      <c r="E33" s="18"/>
      <c r="F33" s="21"/>
      <c r="G33" s="23">
        <v>4225101</v>
      </c>
      <c r="H33" s="66">
        <v>4225101</v>
      </c>
    </row>
    <row r="34" spans="1:8" ht="19.5" customHeight="1">
      <c r="A34" s="65"/>
      <c r="B34" s="279" t="s">
        <v>271</v>
      </c>
      <c r="C34" s="18"/>
      <c r="D34" s="18"/>
      <c r="E34" s="18"/>
      <c r="F34" s="21"/>
      <c r="G34" s="23"/>
      <c r="H34" s="66"/>
    </row>
    <row r="35" spans="1:8" ht="19.5" customHeight="1" thickBot="1">
      <c r="A35" s="67" t="s">
        <v>43</v>
      </c>
      <c r="B35" s="18" t="s">
        <v>355</v>
      </c>
      <c r="C35" s="18"/>
      <c r="D35" s="18"/>
      <c r="E35" s="18"/>
      <c r="F35" s="21"/>
      <c r="G35" s="23">
        <v>700000</v>
      </c>
      <c r="H35" s="66"/>
    </row>
    <row r="36" spans="1:8" ht="19.5" customHeight="1" thickBot="1">
      <c r="A36" s="312"/>
      <c r="B36" s="313"/>
      <c r="C36" s="294"/>
      <c r="D36" s="294"/>
      <c r="E36" s="295" t="s">
        <v>38</v>
      </c>
      <c r="F36" s="310"/>
      <c r="G36" s="291">
        <f>SUM(G32:G35)</f>
        <v>5486439</v>
      </c>
      <c r="H36" s="184">
        <f>SUM(H32:H35)</f>
        <v>4513408</v>
      </c>
    </row>
    <row r="37" spans="1:8" ht="23.25" customHeight="1" thickBot="1">
      <c r="A37" s="502" t="s">
        <v>194</v>
      </c>
      <c r="B37" s="500"/>
      <c r="C37" s="500"/>
      <c r="D37" s="500"/>
      <c r="E37" s="500"/>
      <c r="F37" s="500"/>
      <c r="G37" s="500"/>
      <c r="H37" s="501"/>
    </row>
    <row r="38" spans="1:8" ht="19.5" customHeight="1" thickBot="1">
      <c r="A38" s="327"/>
      <c r="B38" s="498" t="s">
        <v>220</v>
      </c>
      <c r="C38" s="498"/>
      <c r="D38" s="498"/>
      <c r="E38" s="498"/>
      <c r="F38" s="498"/>
      <c r="G38" s="498"/>
      <c r="H38" s="499"/>
    </row>
    <row r="39" spans="1:8" ht="19.5" customHeight="1">
      <c r="A39" s="319" t="s">
        <v>34</v>
      </c>
      <c r="B39" s="320"/>
      <c r="C39" s="320"/>
      <c r="D39" s="320"/>
      <c r="E39" s="320"/>
      <c r="F39" s="321"/>
      <c r="G39" s="322" t="s">
        <v>340</v>
      </c>
      <c r="H39" s="332" t="s">
        <v>342</v>
      </c>
    </row>
    <row r="40" spans="1:8" ht="19.5" customHeight="1" thickBot="1">
      <c r="A40" s="323" t="s">
        <v>35</v>
      </c>
      <c r="B40" s="489" t="s">
        <v>5</v>
      </c>
      <c r="C40" s="490"/>
      <c r="D40" s="490"/>
      <c r="E40" s="490"/>
      <c r="F40" s="491"/>
      <c r="G40" s="324" t="s">
        <v>2</v>
      </c>
      <c r="H40" s="325" t="s">
        <v>2</v>
      </c>
    </row>
    <row r="41" spans="1:8" ht="19.5" customHeight="1">
      <c r="A41" s="67" t="s">
        <v>53</v>
      </c>
      <c r="B41" s="18" t="s">
        <v>54</v>
      </c>
      <c r="C41" s="18"/>
      <c r="D41" s="18"/>
      <c r="E41" s="18"/>
      <c r="F41" s="21"/>
      <c r="G41" s="27">
        <v>228187</v>
      </c>
      <c r="H41" s="66">
        <v>606485</v>
      </c>
    </row>
    <row r="42" spans="1:12" ht="19.5" customHeight="1">
      <c r="A42" s="67" t="s">
        <v>41</v>
      </c>
      <c r="B42" s="18" t="s">
        <v>55</v>
      </c>
      <c r="C42" s="18"/>
      <c r="D42" s="18"/>
      <c r="E42" s="18"/>
      <c r="F42" s="21"/>
      <c r="G42" s="27">
        <v>113057</v>
      </c>
      <c r="H42" s="66">
        <v>240402</v>
      </c>
      <c r="K42" s="254">
        <f>+G42+G43</f>
        <v>726232</v>
      </c>
      <c r="L42" s="254">
        <f>+H42+H43</f>
        <v>892480</v>
      </c>
    </row>
    <row r="43" spans="1:12" ht="19.5" customHeight="1">
      <c r="A43" s="67" t="s">
        <v>43</v>
      </c>
      <c r="B43" s="18" t="s">
        <v>56</v>
      </c>
      <c r="C43" s="18"/>
      <c r="D43" s="18"/>
      <c r="E43" s="18"/>
      <c r="F43" s="21"/>
      <c r="G43" s="27">
        <v>613175</v>
      </c>
      <c r="H43" s="66">
        <v>652078</v>
      </c>
      <c r="K43" s="254"/>
      <c r="L43" s="254">
        <f>+K42-L42</f>
        <v>-166248</v>
      </c>
    </row>
    <row r="44" spans="1:12" ht="19.5" customHeight="1" thickBot="1">
      <c r="A44" s="67">
        <v>4</v>
      </c>
      <c r="B44" s="18" t="s">
        <v>245</v>
      </c>
      <c r="C44" s="18"/>
      <c r="D44" s="18"/>
      <c r="E44" s="18"/>
      <c r="F44" s="21"/>
      <c r="G44" s="23">
        <v>305081</v>
      </c>
      <c r="H44" s="66">
        <v>208902</v>
      </c>
      <c r="K44" s="254"/>
      <c r="L44" s="254">
        <f>G44-H44</f>
        <v>96179</v>
      </c>
    </row>
    <row r="45" spans="1:11" ht="19.5" customHeight="1" thickBot="1">
      <c r="A45" s="312"/>
      <c r="B45" s="313"/>
      <c r="C45" s="294"/>
      <c r="D45" s="294"/>
      <c r="E45" s="295" t="s">
        <v>38</v>
      </c>
      <c r="F45" s="310"/>
      <c r="G45" s="292">
        <f>SUM(G41:G44)</f>
        <v>1259500</v>
      </c>
      <c r="H45" s="184">
        <f>SUM(H41:H44)</f>
        <v>1707867</v>
      </c>
      <c r="K45" s="254"/>
    </row>
    <row r="46" spans="1:11" ht="23.25" customHeight="1" thickBot="1">
      <c r="A46" s="312"/>
      <c r="B46" s="317" t="s">
        <v>58</v>
      </c>
      <c r="C46" s="294"/>
      <c r="D46" s="294"/>
      <c r="E46" s="295"/>
      <c r="F46" s="294"/>
      <c r="G46" s="318" t="s">
        <v>221</v>
      </c>
      <c r="H46" s="184"/>
      <c r="K46" s="254"/>
    </row>
    <row r="47" spans="1:8" ht="19.5" customHeight="1">
      <c r="A47" s="319" t="s">
        <v>34</v>
      </c>
      <c r="B47" s="320"/>
      <c r="C47" s="320"/>
      <c r="D47" s="320"/>
      <c r="E47" s="320"/>
      <c r="F47" s="321"/>
      <c r="G47" s="322" t="s">
        <v>340</v>
      </c>
      <c r="H47" s="332" t="s">
        <v>342</v>
      </c>
    </row>
    <row r="48" spans="1:8" ht="19.5" customHeight="1" thickBot="1">
      <c r="A48" s="323" t="s">
        <v>35</v>
      </c>
      <c r="B48" s="489" t="s">
        <v>5</v>
      </c>
      <c r="C48" s="490"/>
      <c r="D48" s="490"/>
      <c r="E48" s="490"/>
      <c r="F48" s="491"/>
      <c r="G48" s="324" t="s">
        <v>2</v>
      </c>
      <c r="H48" s="325" t="s">
        <v>2</v>
      </c>
    </row>
    <row r="49" spans="1:8" ht="19.5" customHeight="1">
      <c r="A49" s="67">
        <v>1</v>
      </c>
      <c r="B49" s="18" t="s">
        <v>174</v>
      </c>
      <c r="C49" s="18"/>
      <c r="D49" s="18"/>
      <c r="E49" s="18"/>
      <c r="F49" s="21"/>
      <c r="G49" s="27">
        <v>46248</v>
      </c>
      <c r="H49" s="66">
        <v>42846</v>
      </c>
    </row>
    <row r="50" spans="1:8" ht="19.5" customHeight="1">
      <c r="A50" s="67">
        <v>2</v>
      </c>
      <c r="B50" s="18" t="s">
        <v>334</v>
      </c>
      <c r="C50" s="18"/>
      <c r="D50" s="18"/>
      <c r="E50" s="18"/>
      <c r="F50" s="18"/>
      <c r="G50" s="27">
        <v>14216.62</v>
      </c>
      <c r="H50" s="66">
        <v>117731</v>
      </c>
    </row>
    <row r="51" spans="1:8" ht="19.5" customHeight="1">
      <c r="A51" s="67">
        <v>3</v>
      </c>
      <c r="B51" s="18" t="s">
        <v>335</v>
      </c>
      <c r="C51" s="18"/>
      <c r="D51" s="18"/>
      <c r="E51" s="18"/>
      <c r="F51" s="18"/>
      <c r="G51" s="27">
        <v>112573</v>
      </c>
      <c r="H51" s="66">
        <v>15458</v>
      </c>
    </row>
    <row r="52" spans="1:8" ht="19.5" customHeight="1" thickBot="1">
      <c r="A52" s="67">
        <v>2</v>
      </c>
      <c r="B52" s="18" t="s">
        <v>336</v>
      </c>
      <c r="C52" s="18"/>
      <c r="D52" s="18"/>
      <c r="E52" s="18"/>
      <c r="F52" s="18"/>
      <c r="G52" s="27">
        <v>134080</v>
      </c>
      <c r="H52" s="66">
        <v>25740</v>
      </c>
    </row>
    <row r="53" spans="1:8" ht="19.5" customHeight="1" thickBot="1">
      <c r="A53" s="312"/>
      <c r="B53" s="313"/>
      <c r="C53" s="294"/>
      <c r="D53" s="294"/>
      <c r="E53" s="295" t="s">
        <v>38</v>
      </c>
      <c r="F53" s="310"/>
      <c r="G53" s="292">
        <f>SUM(G49:G52)</f>
        <v>307117.62</v>
      </c>
      <c r="H53" s="184">
        <f>SUM(H49:H52)</f>
        <v>201775</v>
      </c>
    </row>
    <row r="54" spans="1:8" ht="19.5" customHeight="1" thickBot="1">
      <c r="A54" s="312"/>
      <c r="B54" s="314" t="s">
        <v>169</v>
      </c>
      <c r="C54" s="294"/>
      <c r="D54" s="294"/>
      <c r="E54" s="295"/>
      <c r="F54" s="310"/>
      <c r="G54" s="315" t="s">
        <v>222</v>
      </c>
      <c r="H54" s="316"/>
    </row>
    <row r="55" spans="1:8" ht="19.5" customHeight="1">
      <c r="A55" s="414" t="s">
        <v>6</v>
      </c>
      <c r="B55" s="320"/>
      <c r="C55" s="320"/>
      <c r="D55" s="320"/>
      <c r="E55" s="320"/>
      <c r="F55" s="321"/>
      <c r="G55" s="322" t="s">
        <v>340</v>
      </c>
      <c r="H55" s="332" t="s">
        <v>342</v>
      </c>
    </row>
    <row r="56" spans="1:12" ht="19.5" customHeight="1" thickBot="1">
      <c r="A56" s="68"/>
      <c r="B56" s="490" t="s">
        <v>5</v>
      </c>
      <c r="C56" s="490"/>
      <c r="D56" s="490"/>
      <c r="E56" s="490"/>
      <c r="F56" s="491"/>
      <c r="G56" s="324" t="s">
        <v>2</v>
      </c>
      <c r="H56" s="325" t="s">
        <v>2</v>
      </c>
      <c r="K56" s="17" t="s">
        <v>254</v>
      </c>
      <c r="L56" s="17" t="s">
        <v>255</v>
      </c>
    </row>
    <row r="57" spans="1:12" ht="19.5" customHeight="1">
      <c r="A57" s="65"/>
      <c r="B57" s="18" t="s">
        <v>59</v>
      </c>
      <c r="C57" s="18"/>
      <c r="D57" s="18"/>
      <c r="E57" s="18"/>
      <c r="F57" s="21"/>
      <c r="G57" s="27">
        <v>606485</v>
      </c>
      <c r="H57" s="66">
        <v>1380662</v>
      </c>
      <c r="K57" s="17">
        <f>4519+11347+2328+101615+21161+6338+6000+9775+753786+7800+1741054+479268+26250+15400+469735+1485+103436+2+95644+1992984</f>
        <v>5849927</v>
      </c>
      <c r="L57" s="17">
        <f>59807+97600+200274+98520+142046+7386</f>
        <v>605633</v>
      </c>
    </row>
    <row r="58" spans="1:12" ht="19.5" customHeight="1">
      <c r="A58" s="65"/>
      <c r="B58" s="18" t="s">
        <v>367</v>
      </c>
      <c r="C58" s="18"/>
      <c r="D58" s="18"/>
      <c r="E58" s="18"/>
      <c r="F58" s="21" t="s">
        <v>6</v>
      </c>
      <c r="G58" s="243">
        <f>3930636-62267</f>
        <v>3868369</v>
      </c>
      <c r="H58" s="244">
        <v>4930983</v>
      </c>
      <c r="K58" s="254">
        <f>205312+399400+238423</f>
        <v>843135</v>
      </c>
      <c r="L58" s="17">
        <v>0</v>
      </c>
    </row>
    <row r="59" spans="1:13" ht="19.5" customHeight="1">
      <c r="A59" s="65"/>
      <c r="B59" s="18"/>
      <c r="C59" s="18"/>
      <c r="D59" s="18"/>
      <c r="E59" s="22" t="s">
        <v>38</v>
      </c>
      <c r="F59" s="198" t="s">
        <v>6</v>
      </c>
      <c r="G59" s="245">
        <f>+G57+G58</f>
        <v>4474854</v>
      </c>
      <c r="H59" s="307">
        <f>+H57+H58</f>
        <v>6311645</v>
      </c>
      <c r="K59" s="254">
        <f>+K57-K58</f>
        <v>5006792</v>
      </c>
      <c r="L59" s="254">
        <v>0</v>
      </c>
      <c r="M59" s="17">
        <f>17658+8736+5850+8000</f>
        <v>40244</v>
      </c>
    </row>
    <row r="60" spans="1:11" ht="19.5" customHeight="1" thickBot="1">
      <c r="A60" s="68"/>
      <c r="B60" s="18" t="s">
        <v>366</v>
      </c>
      <c r="C60" s="18"/>
      <c r="D60" s="18"/>
      <c r="E60" s="18"/>
      <c r="F60" s="18" t="s">
        <v>6</v>
      </c>
      <c r="G60" s="27">
        <v>228187</v>
      </c>
      <c r="H60" s="66">
        <v>606485</v>
      </c>
      <c r="K60" s="254"/>
    </row>
    <row r="61" spans="1:8" ht="19.5" customHeight="1" thickBot="1">
      <c r="A61" s="179"/>
      <c r="B61" s="294"/>
      <c r="C61" s="295" t="s">
        <v>272</v>
      </c>
      <c r="D61" s="294"/>
      <c r="E61" s="295"/>
      <c r="F61" s="296" t="s">
        <v>6</v>
      </c>
      <c r="G61" s="42">
        <f>+G59-G60</f>
        <v>4246667</v>
      </c>
      <c r="H61" s="297">
        <f>+H59-H60</f>
        <v>5705160</v>
      </c>
    </row>
    <row r="62" spans="1:8" ht="26.25" customHeight="1" thickBot="1">
      <c r="A62" s="492" t="s">
        <v>92</v>
      </c>
      <c r="B62" s="493"/>
      <c r="C62" s="493"/>
      <c r="D62" s="493"/>
      <c r="E62" s="493"/>
      <c r="F62" s="493"/>
      <c r="G62" s="493"/>
      <c r="H62" s="494"/>
    </row>
    <row r="63" spans="1:8" ht="23.25" thickBot="1">
      <c r="A63" s="336"/>
      <c r="B63" s="314" t="s">
        <v>170</v>
      </c>
      <c r="C63" s="337"/>
      <c r="D63" s="337"/>
      <c r="E63" s="337"/>
      <c r="F63" s="337"/>
      <c r="G63" s="328" t="s">
        <v>223</v>
      </c>
      <c r="H63" s="338"/>
    </row>
    <row r="64" spans="1:8" ht="16.5">
      <c r="A64" s="319" t="s">
        <v>34</v>
      </c>
      <c r="B64" s="320"/>
      <c r="C64" s="320"/>
      <c r="D64" s="320"/>
      <c r="E64" s="320"/>
      <c r="F64" s="321"/>
      <c r="G64" s="322" t="s">
        <v>340</v>
      </c>
      <c r="H64" s="332" t="s">
        <v>342</v>
      </c>
    </row>
    <row r="65" spans="1:8" ht="17.25" thickBot="1">
      <c r="A65" s="323" t="s">
        <v>35</v>
      </c>
      <c r="B65" s="489" t="s">
        <v>5</v>
      </c>
      <c r="C65" s="490"/>
      <c r="D65" s="490"/>
      <c r="E65" s="490"/>
      <c r="F65" s="491"/>
      <c r="G65" s="324" t="s">
        <v>2</v>
      </c>
      <c r="H65" s="325" t="s">
        <v>2</v>
      </c>
    </row>
    <row r="66" spans="1:8" ht="15">
      <c r="A66" s="67">
        <v>1</v>
      </c>
      <c r="B66" s="18" t="s">
        <v>65</v>
      </c>
      <c r="C66" s="18"/>
      <c r="D66" s="18"/>
      <c r="E66" s="18"/>
      <c r="F66" s="21"/>
      <c r="G66" s="27">
        <v>1212859</v>
      </c>
      <c r="H66" s="66">
        <v>2031630</v>
      </c>
    </row>
    <row r="67" spans="1:8" ht="15">
      <c r="A67" s="67">
        <v>2</v>
      </c>
      <c r="B67" s="18" t="s">
        <v>66</v>
      </c>
      <c r="C67" s="18"/>
      <c r="D67" s="18"/>
      <c r="E67" s="18"/>
      <c r="F67" s="21"/>
      <c r="G67" s="27">
        <v>1582340</v>
      </c>
      <c r="H67" s="66">
        <v>3235433</v>
      </c>
    </row>
    <row r="68" spans="1:8" ht="15">
      <c r="A68" s="67">
        <v>3</v>
      </c>
      <c r="B68" s="18" t="s">
        <v>256</v>
      </c>
      <c r="C68" s="18"/>
      <c r="D68" s="18"/>
      <c r="E68" s="18"/>
      <c r="F68" s="21"/>
      <c r="G68" s="27">
        <v>101271</v>
      </c>
      <c r="H68" s="66">
        <v>246324</v>
      </c>
    </row>
    <row r="69" spans="1:8" ht="15">
      <c r="A69" s="67">
        <v>4</v>
      </c>
      <c r="B69" s="26" t="s">
        <v>130</v>
      </c>
      <c r="C69" s="18"/>
      <c r="D69" s="18"/>
      <c r="E69" s="18"/>
      <c r="F69" s="21"/>
      <c r="G69" s="27">
        <v>266418</v>
      </c>
      <c r="H69" s="66">
        <v>453217</v>
      </c>
    </row>
    <row r="70" spans="1:8" ht="15">
      <c r="A70" s="67">
        <v>5</v>
      </c>
      <c r="B70" s="18" t="s">
        <v>69</v>
      </c>
      <c r="C70" s="18"/>
      <c r="D70" s="18"/>
      <c r="E70" s="18"/>
      <c r="F70" s="21"/>
      <c r="G70" s="27">
        <v>22850</v>
      </c>
      <c r="H70" s="66">
        <v>90217</v>
      </c>
    </row>
    <row r="71" spans="1:8" ht="15">
      <c r="A71" s="67">
        <v>6</v>
      </c>
      <c r="B71" s="18" t="s">
        <v>70</v>
      </c>
      <c r="C71" s="18"/>
      <c r="D71" s="18"/>
      <c r="E71" s="18"/>
      <c r="F71" s="21"/>
      <c r="G71" s="27">
        <f>45748+3</f>
        <v>45751</v>
      </c>
      <c r="H71" s="66">
        <v>104059</v>
      </c>
    </row>
    <row r="72" spans="1:8" ht="15">
      <c r="A72" s="67">
        <v>7</v>
      </c>
      <c r="B72" s="18" t="s">
        <v>273</v>
      </c>
      <c r="C72" s="18"/>
      <c r="D72" s="18"/>
      <c r="E72" s="18"/>
      <c r="F72" s="21"/>
      <c r="G72" s="27">
        <f>349290+261070+4939+110220+52796+25333+731589+4085785+263541</f>
        <v>5884563</v>
      </c>
      <c r="H72" s="66">
        <v>6954498</v>
      </c>
    </row>
    <row r="73" spans="1:8" ht="15">
      <c r="A73" s="67">
        <v>8</v>
      </c>
      <c r="B73" s="18" t="s">
        <v>344</v>
      </c>
      <c r="C73" s="18"/>
      <c r="D73" s="18"/>
      <c r="E73" s="18"/>
      <c r="F73" s="18"/>
      <c r="G73" s="27">
        <v>15749</v>
      </c>
      <c r="H73" s="66">
        <v>0</v>
      </c>
    </row>
    <row r="74" spans="1:8" ht="15.75" thickBot="1">
      <c r="A74" s="67">
        <v>9</v>
      </c>
      <c r="B74" s="18" t="s">
        <v>274</v>
      </c>
      <c r="C74" s="18"/>
      <c r="D74" s="18"/>
      <c r="E74" s="18"/>
      <c r="F74" s="18"/>
      <c r="G74" s="27">
        <f>31315+67815+856214+83869+476393+178918+2809+4350+358125</f>
        <v>2059808</v>
      </c>
      <c r="H74" s="66">
        <v>6951793</v>
      </c>
    </row>
    <row r="75" spans="1:12" ht="17.25" thickBot="1">
      <c r="A75" s="312"/>
      <c r="B75" s="313"/>
      <c r="C75" s="294"/>
      <c r="D75" s="294"/>
      <c r="E75" s="295" t="s">
        <v>38</v>
      </c>
      <c r="F75" s="310"/>
      <c r="G75" s="292">
        <f>SUM(G66:G74)</f>
        <v>11191609</v>
      </c>
      <c r="H75" s="184">
        <f>SUM(H66:H74)</f>
        <v>20067171</v>
      </c>
      <c r="K75" s="254">
        <f>+G75-107754-418000</f>
        <v>10665855</v>
      </c>
      <c r="L75" s="254">
        <f>38000*11</f>
        <v>418000</v>
      </c>
    </row>
    <row r="76" spans="1:8" ht="23.25" thickBot="1">
      <c r="A76" s="333"/>
      <c r="B76" s="337" t="s">
        <v>162</v>
      </c>
      <c r="C76" s="337"/>
      <c r="D76" s="337" t="s">
        <v>100</v>
      </c>
      <c r="E76" s="337"/>
      <c r="F76" s="337"/>
      <c r="G76" s="328" t="s">
        <v>224</v>
      </c>
      <c r="H76" s="338"/>
    </row>
    <row r="77" spans="1:8" ht="16.5">
      <c r="A77" s="319" t="s">
        <v>34</v>
      </c>
      <c r="B77" s="320"/>
      <c r="C77" s="320"/>
      <c r="D77" s="320"/>
      <c r="E77" s="320"/>
      <c r="F77" s="321"/>
      <c r="G77" s="322" t="s">
        <v>340</v>
      </c>
      <c r="H77" s="332" t="s">
        <v>342</v>
      </c>
    </row>
    <row r="78" spans="1:8" ht="17.25" thickBot="1">
      <c r="A78" s="323" t="s">
        <v>35</v>
      </c>
      <c r="B78" s="489" t="s">
        <v>5</v>
      </c>
      <c r="C78" s="490"/>
      <c r="D78" s="490"/>
      <c r="E78" s="490"/>
      <c r="F78" s="491"/>
      <c r="G78" s="324" t="s">
        <v>2</v>
      </c>
      <c r="H78" s="325" t="s">
        <v>2</v>
      </c>
    </row>
    <row r="79" spans="1:8" ht="15">
      <c r="A79" s="67" t="s">
        <v>40</v>
      </c>
      <c r="B79" s="18" t="s">
        <v>257</v>
      </c>
      <c r="C79" s="18"/>
      <c r="D79" s="18"/>
      <c r="E79" s="18"/>
      <c r="F79" s="21"/>
      <c r="G79" s="27">
        <f>59778+237282+1203+3073+72829+2865039</f>
        <v>3239204</v>
      </c>
      <c r="H79" s="66">
        <v>3197128</v>
      </c>
    </row>
    <row r="80" spans="1:8" ht="15">
      <c r="A80" s="67" t="s">
        <v>41</v>
      </c>
      <c r="B80" s="18" t="s">
        <v>71</v>
      </c>
      <c r="C80" s="18"/>
      <c r="D80" s="18"/>
      <c r="E80" s="18"/>
      <c r="F80" s="21"/>
      <c r="G80" s="27">
        <f>374664+204870+63754+289</f>
        <v>643577</v>
      </c>
      <c r="H80" s="66">
        <v>578282</v>
      </c>
    </row>
    <row r="81" spans="1:8" ht="15">
      <c r="A81" s="67" t="s">
        <v>43</v>
      </c>
      <c r="B81" s="18" t="s">
        <v>243</v>
      </c>
      <c r="C81" s="18"/>
      <c r="D81" s="18"/>
      <c r="E81" s="18"/>
      <c r="F81" s="21"/>
      <c r="G81" s="27">
        <f>120089+14500+28517+6836+216233</f>
        <v>386175</v>
      </c>
      <c r="H81" s="66">
        <v>534612</v>
      </c>
    </row>
    <row r="82" spans="1:8" ht="15.75" thickBot="1">
      <c r="A82" s="67" t="s">
        <v>47</v>
      </c>
      <c r="B82" s="18" t="s">
        <v>345</v>
      </c>
      <c r="C82" s="18"/>
      <c r="D82" s="18"/>
      <c r="E82" s="18"/>
      <c r="F82" s="21"/>
      <c r="G82" s="23">
        <v>206462</v>
      </c>
      <c r="H82" s="66"/>
    </row>
    <row r="83" spans="1:11" ht="17.25" thickBot="1">
      <c r="A83" s="312"/>
      <c r="B83" s="313"/>
      <c r="C83" s="294"/>
      <c r="D83" s="294"/>
      <c r="E83" s="295" t="s">
        <v>38</v>
      </c>
      <c r="F83" s="310"/>
      <c r="G83" s="292">
        <f>SUM(G79:G82)</f>
        <v>4475418</v>
      </c>
      <c r="H83" s="184">
        <f>SUM(H79:H82)</f>
        <v>4310022</v>
      </c>
      <c r="K83" s="254"/>
    </row>
    <row r="84" spans="1:8" ht="19.5" customHeight="1" thickBot="1">
      <c r="A84" s="495" t="s">
        <v>225</v>
      </c>
      <c r="B84" s="496"/>
      <c r="C84" s="496"/>
      <c r="D84" s="496"/>
      <c r="E84" s="496"/>
      <c r="F84" s="496"/>
      <c r="G84" s="496"/>
      <c r="H84" s="497"/>
    </row>
    <row r="85" spans="1:8" ht="16.5">
      <c r="A85" s="319" t="s">
        <v>34</v>
      </c>
      <c r="B85" s="320"/>
      <c r="C85" s="320"/>
      <c r="D85" s="320"/>
      <c r="E85" s="320"/>
      <c r="F85" s="321"/>
      <c r="G85" s="322" t="s">
        <v>340</v>
      </c>
      <c r="H85" s="332" t="s">
        <v>342</v>
      </c>
    </row>
    <row r="86" spans="1:8" ht="17.25" thickBot="1">
      <c r="A86" s="323" t="s">
        <v>35</v>
      </c>
      <c r="B86" s="489" t="s">
        <v>5</v>
      </c>
      <c r="C86" s="490"/>
      <c r="D86" s="490"/>
      <c r="E86" s="490"/>
      <c r="F86" s="491"/>
      <c r="G86" s="324" t="s">
        <v>2</v>
      </c>
      <c r="H86" s="325" t="s">
        <v>2</v>
      </c>
    </row>
    <row r="87" spans="1:8" ht="15">
      <c r="A87" s="67">
        <v>1</v>
      </c>
      <c r="B87" s="18" t="s">
        <v>73</v>
      </c>
      <c r="C87" s="18"/>
      <c r="D87" s="18"/>
      <c r="E87" s="18"/>
      <c r="F87" s="21"/>
      <c r="G87" s="23">
        <v>20617</v>
      </c>
      <c r="H87" s="66">
        <v>79919</v>
      </c>
    </row>
    <row r="88" spans="1:8" ht="15">
      <c r="A88" s="67">
        <v>2</v>
      </c>
      <c r="B88" s="18" t="s">
        <v>74</v>
      </c>
      <c r="C88" s="18"/>
      <c r="D88" s="18"/>
      <c r="E88" s="18"/>
      <c r="F88" s="21"/>
      <c r="G88" s="23">
        <f>144183+21717</f>
        <v>165900</v>
      </c>
      <c r="H88" s="66">
        <v>142609</v>
      </c>
    </row>
    <row r="89" spans="1:8" ht="15">
      <c r="A89" s="67">
        <v>3</v>
      </c>
      <c r="B89" s="18" t="s">
        <v>75</v>
      </c>
      <c r="C89" s="18"/>
      <c r="D89" s="18"/>
      <c r="E89" s="18"/>
      <c r="F89" s="21"/>
      <c r="G89" s="23">
        <f>1476+46939</f>
        <v>48415</v>
      </c>
      <c r="H89" s="66">
        <v>18340</v>
      </c>
    </row>
    <row r="90" spans="1:13" ht="15">
      <c r="A90" s="67">
        <v>4</v>
      </c>
      <c r="B90" s="18" t="s">
        <v>77</v>
      </c>
      <c r="C90" s="18"/>
      <c r="D90" s="18"/>
      <c r="E90" s="18"/>
      <c r="F90" s="21"/>
      <c r="G90" s="23">
        <v>216095</v>
      </c>
      <c r="H90" s="66">
        <v>198045</v>
      </c>
      <c r="M90" s="17">
        <v>18852535</v>
      </c>
    </row>
    <row r="91" spans="1:13" ht="15">
      <c r="A91" s="67">
        <v>5</v>
      </c>
      <c r="B91" s="18" t="s">
        <v>78</v>
      </c>
      <c r="C91" s="18"/>
      <c r="D91" s="18"/>
      <c r="E91" s="18"/>
      <c r="F91" s="21"/>
      <c r="G91" s="23">
        <v>79094</v>
      </c>
      <c r="H91" s="66">
        <v>93208</v>
      </c>
      <c r="M91" s="17">
        <v>1164026</v>
      </c>
    </row>
    <row r="92" spans="1:13" ht="15">
      <c r="A92" s="67">
        <v>6</v>
      </c>
      <c r="B92" s="26" t="s">
        <v>79</v>
      </c>
      <c r="C92" s="18"/>
      <c r="D92" s="18"/>
      <c r="E92" s="18"/>
      <c r="F92" s="21"/>
      <c r="G92" s="23">
        <v>184209</v>
      </c>
      <c r="H92" s="66">
        <v>186157</v>
      </c>
      <c r="M92" s="17">
        <v>281418</v>
      </c>
    </row>
    <row r="93" spans="1:13" ht="15">
      <c r="A93" s="67">
        <v>7</v>
      </c>
      <c r="B93" s="18" t="s">
        <v>191</v>
      </c>
      <c r="C93" s="18"/>
      <c r="D93" s="18"/>
      <c r="E93" s="18"/>
      <c r="F93" s="21"/>
      <c r="G93" s="23">
        <f>154021+40500</f>
        <v>194521</v>
      </c>
      <c r="H93" s="66">
        <v>438822</v>
      </c>
      <c r="M93" s="17">
        <f>SUM(M90:M92)</f>
        <v>20297979</v>
      </c>
    </row>
    <row r="94" spans="1:8" ht="15">
      <c r="A94" s="67">
        <v>8</v>
      </c>
      <c r="B94" s="55" t="s">
        <v>192</v>
      </c>
      <c r="C94" s="18"/>
      <c r="D94" s="18"/>
      <c r="E94" s="18"/>
      <c r="F94" s="21"/>
      <c r="G94" s="23">
        <v>195898</v>
      </c>
      <c r="H94" s="66">
        <v>224518</v>
      </c>
    </row>
    <row r="95" spans="1:13" ht="15">
      <c r="A95" s="67">
        <v>9</v>
      </c>
      <c r="B95" s="18" t="s">
        <v>80</v>
      </c>
      <c r="C95" s="18"/>
      <c r="D95" s="18"/>
      <c r="E95" s="18"/>
      <c r="F95" s="21"/>
      <c r="G95" s="23">
        <v>28100</v>
      </c>
      <c r="H95" s="66">
        <v>28060</v>
      </c>
      <c r="M95" s="17">
        <v>332.47</v>
      </c>
    </row>
    <row r="96" spans="1:13" ht="15">
      <c r="A96" s="67">
        <v>10</v>
      </c>
      <c r="B96" s="18" t="s">
        <v>81</v>
      </c>
      <c r="C96" s="18"/>
      <c r="D96" s="18"/>
      <c r="E96" s="18"/>
      <c r="F96" s="21"/>
      <c r="G96" s="23">
        <f>3000+1485+26000+4250+4685+1980+1980+133035+95506+16625+7292+64489+22472+2400+20160+14607</f>
        <v>419966</v>
      </c>
      <c r="H96" s="66">
        <v>471929</v>
      </c>
      <c r="M96" s="17">
        <v>341.77</v>
      </c>
    </row>
    <row r="97" spans="1:13" ht="15">
      <c r="A97" s="67">
        <v>11</v>
      </c>
      <c r="B97" s="26" t="s">
        <v>184</v>
      </c>
      <c r="C97" s="18"/>
      <c r="D97" s="18"/>
      <c r="E97" s="18"/>
      <c r="F97" s="21"/>
      <c r="G97" s="23">
        <v>25704</v>
      </c>
      <c r="H97" s="66">
        <v>32410</v>
      </c>
      <c r="M97" s="17">
        <f>M96-M95</f>
        <v>9.299999999999955</v>
      </c>
    </row>
    <row r="98" spans="1:11" ht="15.75" thickBot="1">
      <c r="A98" s="67">
        <v>12</v>
      </c>
      <c r="B98" s="55" t="s">
        <v>117</v>
      </c>
      <c r="C98" s="18"/>
      <c r="D98" s="18"/>
      <c r="E98" s="18"/>
      <c r="F98" s="21"/>
      <c r="G98" s="23">
        <f>17700</f>
        <v>17700</v>
      </c>
      <c r="H98" s="247">
        <v>36320</v>
      </c>
      <c r="K98" s="17">
        <f>1596219+23135</f>
        <v>1619354</v>
      </c>
    </row>
    <row r="99" spans="1:11" ht="17.25" thickBot="1">
      <c r="A99" s="312"/>
      <c r="B99" s="313"/>
      <c r="C99" s="294"/>
      <c r="D99" s="294"/>
      <c r="E99" s="295" t="s">
        <v>38</v>
      </c>
      <c r="F99" s="310"/>
      <c r="G99" s="292">
        <f>SUM(G87:G98)</f>
        <v>1596219</v>
      </c>
      <c r="H99" s="184">
        <f>SUM(H87:H98)</f>
        <v>1950337</v>
      </c>
      <c r="K99" s="254">
        <v>1391301</v>
      </c>
    </row>
    <row r="100" spans="1:11" ht="23.25" thickBot="1">
      <c r="A100" s="492" t="s">
        <v>92</v>
      </c>
      <c r="B100" s="493"/>
      <c r="C100" s="493"/>
      <c r="D100" s="493"/>
      <c r="E100" s="493"/>
      <c r="F100" s="493"/>
      <c r="G100" s="493"/>
      <c r="H100" s="494"/>
      <c r="K100" s="254">
        <f>+G99-K99</f>
        <v>204918</v>
      </c>
    </row>
    <row r="101" spans="1:8" ht="23.25" customHeight="1" thickBot="1">
      <c r="A101" s="495" t="s">
        <v>226</v>
      </c>
      <c r="B101" s="496"/>
      <c r="C101" s="496"/>
      <c r="D101" s="496"/>
      <c r="E101" s="496"/>
      <c r="F101" s="496"/>
      <c r="G101" s="496"/>
      <c r="H101" s="497"/>
    </row>
    <row r="102" spans="1:8" ht="16.5">
      <c r="A102" s="319" t="s">
        <v>34</v>
      </c>
      <c r="B102" s="320"/>
      <c r="C102" s="320"/>
      <c r="D102" s="320"/>
      <c r="E102" s="320"/>
      <c r="F102" s="321"/>
      <c r="G102" s="322" t="s">
        <v>340</v>
      </c>
      <c r="H102" s="332" t="s">
        <v>342</v>
      </c>
    </row>
    <row r="103" spans="1:8" ht="17.25" thickBot="1">
      <c r="A103" s="323" t="s">
        <v>35</v>
      </c>
      <c r="B103" s="489" t="s">
        <v>5</v>
      </c>
      <c r="C103" s="490"/>
      <c r="D103" s="490"/>
      <c r="E103" s="490"/>
      <c r="F103" s="491"/>
      <c r="G103" s="324" t="s">
        <v>2</v>
      </c>
      <c r="H103" s="325" t="s">
        <v>2</v>
      </c>
    </row>
    <row r="104" spans="1:8" ht="15">
      <c r="A104" s="67" t="s">
        <v>40</v>
      </c>
      <c r="B104" s="26" t="s">
        <v>82</v>
      </c>
      <c r="C104" s="18"/>
      <c r="D104" s="18"/>
      <c r="E104" s="18"/>
      <c r="F104" s="18"/>
      <c r="G104" s="27">
        <f>150+478+35410</f>
        <v>36038</v>
      </c>
      <c r="H104" s="66">
        <v>32024</v>
      </c>
    </row>
    <row r="105" spans="1:8" ht="15.75" thickBot="1">
      <c r="A105" s="67" t="s">
        <v>41</v>
      </c>
      <c r="B105" s="18" t="s">
        <v>83</v>
      </c>
      <c r="C105" s="18"/>
      <c r="D105" s="18"/>
      <c r="E105" s="18"/>
      <c r="F105" s="18"/>
      <c r="G105" s="27">
        <f>9011</f>
        <v>9011</v>
      </c>
      <c r="H105" s="66">
        <v>15929</v>
      </c>
    </row>
    <row r="106" spans="1:8" ht="17.25" thickBot="1">
      <c r="A106" s="312"/>
      <c r="B106" s="294"/>
      <c r="C106" s="294"/>
      <c r="D106" s="294"/>
      <c r="E106" s="295" t="s">
        <v>38</v>
      </c>
      <c r="F106" s="294"/>
      <c r="G106" s="42">
        <f>SUM(G104:G105)</f>
        <v>45049</v>
      </c>
      <c r="H106" s="184">
        <f>SUM(H104:H105)</f>
        <v>47953</v>
      </c>
    </row>
    <row r="107" spans="1:8" ht="19.5" customHeight="1" thickBot="1">
      <c r="A107" s="495" t="s">
        <v>227</v>
      </c>
      <c r="B107" s="496"/>
      <c r="C107" s="496"/>
      <c r="D107" s="496"/>
      <c r="E107" s="496"/>
      <c r="F107" s="496"/>
      <c r="G107" s="496"/>
      <c r="H107" s="497"/>
    </row>
    <row r="108" spans="1:8" ht="16.5">
      <c r="A108" s="319" t="s">
        <v>34</v>
      </c>
      <c r="B108" s="320"/>
      <c r="C108" s="320"/>
      <c r="D108" s="320"/>
      <c r="E108" s="320"/>
      <c r="F108" s="321"/>
      <c r="G108" s="322" t="s">
        <v>340</v>
      </c>
      <c r="H108" s="332" t="s">
        <v>342</v>
      </c>
    </row>
    <row r="109" spans="1:8" ht="17.25" thickBot="1">
      <c r="A109" s="323" t="s">
        <v>35</v>
      </c>
      <c r="B109" s="489" t="s">
        <v>5</v>
      </c>
      <c r="C109" s="490"/>
      <c r="D109" s="490"/>
      <c r="E109" s="490"/>
      <c r="F109" s="491"/>
      <c r="G109" s="324" t="s">
        <v>2</v>
      </c>
      <c r="H109" s="325" t="s">
        <v>2</v>
      </c>
    </row>
    <row r="110" spans="1:8" ht="15">
      <c r="A110" s="67" t="s">
        <v>53</v>
      </c>
      <c r="B110" s="18" t="s">
        <v>84</v>
      </c>
      <c r="C110" s="18"/>
      <c r="D110" s="18"/>
      <c r="E110" s="18"/>
      <c r="F110" s="21"/>
      <c r="G110" s="27">
        <f>9300+70404</f>
        <v>79704</v>
      </c>
      <c r="H110" s="66">
        <v>45164</v>
      </c>
    </row>
    <row r="111" spans="1:8" ht="15">
      <c r="A111" s="67" t="s">
        <v>41</v>
      </c>
      <c r="B111" s="18" t="s">
        <v>85</v>
      </c>
      <c r="C111" s="18"/>
      <c r="D111" s="18"/>
      <c r="E111" s="18"/>
      <c r="F111" s="21"/>
      <c r="G111" s="27">
        <f>5764+6922</f>
        <v>12686</v>
      </c>
      <c r="H111" s="66">
        <v>200</v>
      </c>
    </row>
    <row r="112" spans="1:8" ht="15">
      <c r="A112" s="67" t="s">
        <v>43</v>
      </c>
      <c r="B112" s="18" t="s">
        <v>275</v>
      </c>
      <c r="C112" s="18"/>
      <c r="D112" s="18"/>
      <c r="E112" s="18"/>
      <c r="F112" s="21"/>
      <c r="G112" s="27">
        <f>54836+162806+10858</f>
        <v>228500</v>
      </c>
      <c r="H112" s="66">
        <v>416384</v>
      </c>
    </row>
    <row r="113" spans="1:8" ht="15">
      <c r="A113" s="67" t="s">
        <v>47</v>
      </c>
      <c r="B113" s="18" t="s">
        <v>86</v>
      </c>
      <c r="C113" s="18"/>
      <c r="D113" s="18"/>
      <c r="E113" s="18"/>
      <c r="F113" s="21"/>
      <c r="G113" s="27">
        <v>16763</v>
      </c>
      <c r="H113" s="66">
        <v>55654</v>
      </c>
    </row>
    <row r="114" spans="1:8" ht="15">
      <c r="A114" s="67" t="s">
        <v>57</v>
      </c>
      <c r="B114" s="18" t="s">
        <v>177</v>
      </c>
      <c r="C114" s="18"/>
      <c r="D114" s="18"/>
      <c r="E114" s="18"/>
      <c r="F114" s="21"/>
      <c r="G114" s="27">
        <v>113347</v>
      </c>
      <c r="H114" s="66">
        <v>62793</v>
      </c>
    </row>
    <row r="115" spans="1:8" ht="15">
      <c r="A115" s="67" t="s">
        <v>64</v>
      </c>
      <c r="B115" s="18" t="s">
        <v>190</v>
      </c>
      <c r="C115" s="18"/>
      <c r="D115" s="18"/>
      <c r="E115" s="18"/>
      <c r="F115" s="21"/>
      <c r="G115" s="27">
        <v>-25555</v>
      </c>
      <c r="H115" s="66">
        <v>-13871</v>
      </c>
    </row>
    <row r="116" spans="1:8" ht="15">
      <c r="A116" s="67" t="s">
        <v>68</v>
      </c>
      <c r="B116" s="18" t="s">
        <v>258</v>
      </c>
      <c r="C116" s="18"/>
      <c r="D116" s="18"/>
      <c r="E116" s="18"/>
      <c r="F116" s="21"/>
      <c r="G116" s="27">
        <f>100+23135</f>
        <v>23235</v>
      </c>
      <c r="H116" s="66">
        <v>0</v>
      </c>
    </row>
    <row r="117" spans="1:11" ht="15.75" thickBot="1">
      <c r="A117" s="67" t="s">
        <v>244</v>
      </c>
      <c r="B117" s="18" t="s">
        <v>87</v>
      </c>
      <c r="C117" s="18"/>
      <c r="D117" s="18"/>
      <c r="E117" s="18"/>
      <c r="F117" s="21"/>
      <c r="G117" s="27">
        <f>4375+2950</f>
        <v>7325</v>
      </c>
      <c r="H117" s="66">
        <v>40699</v>
      </c>
      <c r="K117" s="17">
        <f>279302-24000</f>
        <v>255302</v>
      </c>
    </row>
    <row r="118" spans="1:8" ht="17.25" thickBot="1">
      <c r="A118" s="339" t="s">
        <v>6</v>
      </c>
      <c r="B118" s="294"/>
      <c r="C118" s="294"/>
      <c r="D118" s="294"/>
      <c r="E118" s="340" t="s">
        <v>93</v>
      </c>
      <c r="F118" s="310"/>
      <c r="G118" s="292">
        <f>SUM(G110:G117)</f>
        <v>456005</v>
      </c>
      <c r="H118" s="184">
        <f>SUM(H110:H117)</f>
        <v>607023</v>
      </c>
    </row>
    <row r="119" spans="1:21" ht="30" thickBot="1">
      <c r="A119" s="305"/>
      <c r="B119" s="18"/>
      <c r="C119" s="18"/>
      <c r="D119" s="18"/>
      <c r="E119" s="18"/>
      <c r="F119" s="18"/>
      <c r="G119" s="18"/>
      <c r="H119" s="18"/>
      <c r="J119" s="450" t="s">
        <v>118</v>
      </c>
      <c r="K119" s="451"/>
      <c r="L119" s="451"/>
      <c r="M119" s="451"/>
      <c r="N119" s="451"/>
      <c r="O119" s="451"/>
      <c r="P119" s="451"/>
      <c r="Q119" s="451"/>
      <c r="R119" s="451"/>
      <c r="S119" s="451"/>
      <c r="T119" s="451"/>
      <c r="U119" s="452"/>
    </row>
    <row r="120" spans="1:21" ht="30" thickBot="1">
      <c r="A120" s="305"/>
      <c r="B120" s="18"/>
      <c r="C120" s="18"/>
      <c r="D120" s="18"/>
      <c r="E120" s="18"/>
      <c r="F120" s="18"/>
      <c r="G120" s="18"/>
      <c r="H120" s="18"/>
      <c r="J120" s="453" t="s">
        <v>152</v>
      </c>
      <c r="K120" s="454"/>
      <c r="L120" s="454"/>
      <c r="M120" s="454"/>
      <c r="N120" s="454"/>
      <c r="O120" s="454"/>
      <c r="P120" s="454"/>
      <c r="Q120" s="454"/>
      <c r="R120" s="454"/>
      <c r="S120" s="454"/>
      <c r="T120" s="454"/>
      <c r="U120" s="455"/>
    </row>
    <row r="121" spans="1:21" ht="20.25" thickBot="1">
      <c r="A121" s="18"/>
      <c r="B121" s="18"/>
      <c r="C121" s="18"/>
      <c r="D121" s="18"/>
      <c r="E121" s="18"/>
      <c r="F121" s="18"/>
      <c r="G121" s="18"/>
      <c r="H121" s="18"/>
      <c r="J121" s="456"/>
      <c r="K121" s="457"/>
      <c r="L121" s="458" t="s">
        <v>126</v>
      </c>
      <c r="M121" s="459"/>
      <c r="N121" s="459"/>
      <c r="O121" s="460"/>
      <c r="P121" s="458" t="s">
        <v>10</v>
      </c>
      <c r="Q121" s="459"/>
      <c r="R121" s="459"/>
      <c r="S121" s="460"/>
      <c r="T121" s="458" t="s">
        <v>125</v>
      </c>
      <c r="U121" s="460"/>
    </row>
    <row r="122" spans="1:21" ht="16.5">
      <c r="A122" s="18"/>
      <c r="B122" s="18"/>
      <c r="C122" s="18"/>
      <c r="D122" s="18"/>
      <c r="E122" s="18"/>
      <c r="F122" s="18"/>
      <c r="G122" s="18"/>
      <c r="H122" s="18"/>
      <c r="J122" s="329" t="s">
        <v>34</v>
      </c>
      <c r="K122" s="250" t="s">
        <v>153</v>
      </c>
      <c r="L122" s="250" t="s">
        <v>154</v>
      </c>
      <c r="M122" s="250" t="s">
        <v>155</v>
      </c>
      <c r="N122" s="251" t="s">
        <v>156</v>
      </c>
      <c r="O122" s="251" t="s">
        <v>157</v>
      </c>
      <c r="P122" s="251" t="s">
        <v>10</v>
      </c>
      <c r="Q122" s="251" t="s">
        <v>10</v>
      </c>
      <c r="R122" s="251" t="s">
        <v>10</v>
      </c>
      <c r="S122" s="251" t="s">
        <v>10</v>
      </c>
      <c r="T122" s="250" t="s">
        <v>158</v>
      </c>
      <c r="U122" s="341" t="s">
        <v>158</v>
      </c>
    </row>
    <row r="123" spans="1:21" ht="16.5">
      <c r="A123" s="18"/>
      <c r="B123" s="18"/>
      <c r="C123" s="18"/>
      <c r="D123" s="18"/>
      <c r="E123" s="18"/>
      <c r="F123" s="18"/>
      <c r="G123" s="18"/>
      <c r="H123" s="18"/>
      <c r="J123" s="78" t="s">
        <v>35</v>
      </c>
      <c r="K123" s="20" t="s">
        <v>119</v>
      </c>
      <c r="L123" s="24" t="s">
        <v>120</v>
      </c>
      <c r="M123" s="20" t="s">
        <v>122</v>
      </c>
      <c r="N123" s="24" t="s">
        <v>122</v>
      </c>
      <c r="O123" s="20" t="s">
        <v>120</v>
      </c>
      <c r="P123" s="24" t="s">
        <v>123</v>
      </c>
      <c r="Q123" s="20" t="s">
        <v>124</v>
      </c>
      <c r="R123" s="24" t="s">
        <v>122</v>
      </c>
      <c r="S123" s="20" t="s">
        <v>120</v>
      </c>
      <c r="T123" s="24" t="s">
        <v>369</v>
      </c>
      <c r="U123" s="79" t="s">
        <v>339</v>
      </c>
    </row>
    <row r="124" spans="1:21" ht="16.5">
      <c r="A124" s="18"/>
      <c r="B124" s="18"/>
      <c r="C124" s="18"/>
      <c r="D124" s="18"/>
      <c r="E124" s="18"/>
      <c r="F124" s="18" t="s">
        <v>372</v>
      </c>
      <c r="G124" s="18"/>
      <c r="H124" s="18"/>
      <c r="J124" s="78"/>
      <c r="K124" s="20"/>
      <c r="L124" s="24" t="s">
        <v>368</v>
      </c>
      <c r="M124" s="20" t="s">
        <v>159</v>
      </c>
      <c r="N124" s="190" t="s">
        <v>160</v>
      </c>
      <c r="O124" s="20" t="s">
        <v>369</v>
      </c>
      <c r="P124" s="24" t="s">
        <v>339</v>
      </c>
      <c r="Q124" s="256" t="s">
        <v>370</v>
      </c>
      <c r="R124" s="190" t="s">
        <v>160</v>
      </c>
      <c r="S124" s="20" t="s">
        <v>371</v>
      </c>
      <c r="T124" s="24"/>
      <c r="U124" s="79"/>
    </row>
    <row r="125" spans="1:21" ht="16.5">
      <c r="A125" s="18"/>
      <c r="B125" s="18"/>
      <c r="C125" s="18"/>
      <c r="D125" s="18"/>
      <c r="E125" s="18"/>
      <c r="F125" s="18"/>
      <c r="G125" s="18"/>
      <c r="H125" s="18"/>
      <c r="J125" s="78"/>
      <c r="K125" s="20"/>
      <c r="L125" s="24"/>
      <c r="M125" s="20"/>
      <c r="N125" s="190"/>
      <c r="O125" s="20"/>
      <c r="P125" s="24"/>
      <c r="Q125" s="256"/>
      <c r="R125" s="190"/>
      <c r="S125" s="20"/>
      <c r="T125" s="24"/>
      <c r="U125" s="79"/>
    </row>
    <row r="126" spans="1:21" ht="17.25" thickBot="1">
      <c r="A126" s="18"/>
      <c r="B126" s="18"/>
      <c r="C126" s="18"/>
      <c r="D126" s="18"/>
      <c r="E126" s="18"/>
      <c r="F126" s="18"/>
      <c r="G126" s="18"/>
      <c r="H126" s="18"/>
      <c r="J126" s="304"/>
      <c r="K126" s="353"/>
      <c r="L126" s="180" t="s">
        <v>121</v>
      </c>
      <c r="M126" s="330" t="s">
        <v>121</v>
      </c>
      <c r="N126" s="180" t="s">
        <v>121</v>
      </c>
      <c r="O126" s="330" t="s">
        <v>121</v>
      </c>
      <c r="P126" s="180" t="s">
        <v>121</v>
      </c>
      <c r="Q126" s="330" t="s">
        <v>121</v>
      </c>
      <c r="R126" s="180" t="s">
        <v>121</v>
      </c>
      <c r="S126" s="330" t="s">
        <v>121</v>
      </c>
      <c r="T126" s="180" t="s">
        <v>121</v>
      </c>
      <c r="U126" s="331" t="s">
        <v>121</v>
      </c>
    </row>
    <row r="127" spans="1:21" ht="15">
      <c r="A127" s="18"/>
      <c r="B127" s="18"/>
      <c r="C127" s="18"/>
      <c r="D127" s="18"/>
      <c r="E127" s="18"/>
      <c r="F127" s="18"/>
      <c r="G127" s="18"/>
      <c r="H127" s="18"/>
      <c r="J127" s="349">
        <v>1</v>
      </c>
      <c r="K127" s="350" t="s">
        <v>127</v>
      </c>
      <c r="L127" s="351">
        <v>4994667</v>
      </c>
      <c r="M127" s="351">
        <v>0</v>
      </c>
      <c r="N127" s="351">
        <v>0</v>
      </c>
      <c r="O127" s="351">
        <f aca="true" t="shared" si="0" ref="O127:O132">L127+M127-N127</f>
        <v>4994667</v>
      </c>
      <c r="P127" s="351">
        <v>0</v>
      </c>
      <c r="Q127" s="351">
        <v>0</v>
      </c>
      <c r="R127" s="351">
        <v>0</v>
      </c>
      <c r="S127" s="351">
        <f>P127+Q127-Q127</f>
        <v>0</v>
      </c>
      <c r="T127" s="351">
        <f aca="true" t="shared" si="1" ref="T127:T132">+O127-S127</f>
        <v>4994667</v>
      </c>
      <c r="U127" s="352">
        <f aca="true" t="shared" si="2" ref="U127:U132">L127-P127</f>
        <v>4994667</v>
      </c>
    </row>
    <row r="128" spans="1:21" ht="15">
      <c r="A128" s="18"/>
      <c r="B128" s="18"/>
      <c r="C128" s="18"/>
      <c r="D128" s="18"/>
      <c r="E128" s="18"/>
      <c r="F128" s="18"/>
      <c r="G128" s="18"/>
      <c r="H128" s="18"/>
      <c r="J128" s="74">
        <v>2</v>
      </c>
      <c r="K128" s="72" t="s">
        <v>150</v>
      </c>
      <c r="L128" s="71">
        <v>20752606</v>
      </c>
      <c r="M128" s="71">
        <v>0</v>
      </c>
      <c r="N128" s="71">
        <v>0</v>
      </c>
      <c r="O128" s="71">
        <f t="shared" si="0"/>
        <v>20752606</v>
      </c>
      <c r="P128" s="71">
        <v>8202957</v>
      </c>
      <c r="Q128" s="71">
        <v>673228</v>
      </c>
      <c r="R128" s="71">
        <v>0</v>
      </c>
      <c r="S128" s="71">
        <f>P128+Q128-R128</f>
        <v>8876185</v>
      </c>
      <c r="T128" s="71">
        <f t="shared" si="1"/>
        <v>11876421</v>
      </c>
      <c r="U128" s="75">
        <f t="shared" si="2"/>
        <v>12549649</v>
      </c>
    </row>
    <row r="129" spans="1:21" ht="15">
      <c r="A129" s="18"/>
      <c r="B129" s="18"/>
      <c r="C129" s="18"/>
      <c r="D129" s="18"/>
      <c r="E129" s="18"/>
      <c r="F129" s="18"/>
      <c r="G129" s="18"/>
      <c r="H129" s="18"/>
      <c r="J129" s="74">
        <v>3</v>
      </c>
      <c r="K129" s="73" t="s">
        <v>128</v>
      </c>
      <c r="L129" s="71">
        <v>36972830</v>
      </c>
      <c r="M129" s="71">
        <v>527762</v>
      </c>
      <c r="N129" s="71">
        <v>0</v>
      </c>
      <c r="O129" s="71">
        <f t="shared" si="0"/>
        <v>37500592</v>
      </c>
      <c r="P129" s="71">
        <v>29778246</v>
      </c>
      <c r="Q129" s="71">
        <v>1285001</v>
      </c>
      <c r="R129" s="71">
        <v>0</v>
      </c>
      <c r="S129" s="71">
        <f>P129+Q129-R129</f>
        <v>31063247</v>
      </c>
      <c r="T129" s="71">
        <f t="shared" si="1"/>
        <v>6437345</v>
      </c>
      <c r="U129" s="75">
        <f t="shared" si="2"/>
        <v>7194584</v>
      </c>
    </row>
    <row r="130" spans="1:21" ht="15">
      <c r="A130" s="18"/>
      <c r="B130" s="18"/>
      <c r="C130" s="18"/>
      <c r="D130" s="18"/>
      <c r="E130" s="18"/>
      <c r="F130" s="18"/>
      <c r="G130" s="18"/>
      <c r="H130" s="18"/>
      <c r="J130" s="74">
        <v>4</v>
      </c>
      <c r="K130" s="72" t="s">
        <v>151</v>
      </c>
      <c r="L130" s="71">
        <v>872325</v>
      </c>
      <c r="M130" s="71">
        <v>8120</v>
      </c>
      <c r="N130" s="71">
        <v>0</v>
      </c>
      <c r="O130" s="71">
        <f t="shared" si="0"/>
        <v>880445</v>
      </c>
      <c r="P130" s="71">
        <v>841620</v>
      </c>
      <c r="Q130" s="71">
        <v>1133</v>
      </c>
      <c r="R130" s="71">
        <v>0</v>
      </c>
      <c r="S130" s="71">
        <f>P130+Q130-R130</f>
        <v>842753</v>
      </c>
      <c r="T130" s="71">
        <f t="shared" si="1"/>
        <v>37692</v>
      </c>
      <c r="U130" s="75">
        <f t="shared" si="2"/>
        <v>30705</v>
      </c>
    </row>
    <row r="131" spans="1:21" ht="15">
      <c r="A131" s="18"/>
      <c r="B131" s="18"/>
      <c r="C131" s="18"/>
      <c r="D131" s="18"/>
      <c r="E131" s="18"/>
      <c r="F131" s="18"/>
      <c r="G131" s="18"/>
      <c r="H131" s="18"/>
      <c r="J131" s="74">
        <v>5</v>
      </c>
      <c r="K131" s="72" t="s">
        <v>161</v>
      </c>
      <c r="L131" s="71">
        <v>876926</v>
      </c>
      <c r="M131" s="71">
        <v>48000</v>
      </c>
      <c r="N131" s="71">
        <v>404855</v>
      </c>
      <c r="O131" s="71">
        <f t="shared" si="0"/>
        <v>520071</v>
      </c>
      <c r="P131" s="71">
        <v>119922</v>
      </c>
      <c r="Q131" s="71">
        <v>62942</v>
      </c>
      <c r="R131" s="71">
        <v>111715</v>
      </c>
      <c r="S131" s="71">
        <f>P131+Q131-R131</f>
        <v>71149</v>
      </c>
      <c r="T131" s="71">
        <f t="shared" si="1"/>
        <v>448922</v>
      </c>
      <c r="U131" s="75">
        <f t="shared" si="2"/>
        <v>757004</v>
      </c>
    </row>
    <row r="132" spans="1:21" ht="15.75" thickBot="1">
      <c r="A132" s="18"/>
      <c r="B132" s="18"/>
      <c r="C132" s="18"/>
      <c r="D132" s="18"/>
      <c r="E132" s="18"/>
      <c r="F132" s="18"/>
      <c r="G132" s="18"/>
      <c r="H132" s="18"/>
      <c r="J132" s="342">
        <v>6</v>
      </c>
      <c r="K132" s="343" t="s">
        <v>129</v>
      </c>
      <c r="L132" s="344">
        <v>2383990</v>
      </c>
      <c r="M132" s="344">
        <v>53460</v>
      </c>
      <c r="N132" s="344">
        <v>0</v>
      </c>
      <c r="O132" s="344">
        <f t="shared" si="0"/>
        <v>2437450</v>
      </c>
      <c r="P132" s="344">
        <v>1882639</v>
      </c>
      <c r="Q132" s="344">
        <v>91281</v>
      </c>
      <c r="R132" s="344">
        <v>0</v>
      </c>
      <c r="S132" s="344">
        <f>P132+Q132-R132</f>
        <v>1973920</v>
      </c>
      <c r="T132" s="344">
        <f t="shared" si="1"/>
        <v>463530</v>
      </c>
      <c r="U132" s="345">
        <f t="shared" si="2"/>
        <v>501351</v>
      </c>
    </row>
    <row r="133" spans="1:21" ht="18.75" thickBot="1">
      <c r="A133" s="18"/>
      <c r="B133" s="18"/>
      <c r="C133" s="18"/>
      <c r="D133" s="18"/>
      <c r="E133" s="18"/>
      <c r="F133" s="18"/>
      <c r="G133" s="18"/>
      <c r="H133" s="18"/>
      <c r="J133" s="312"/>
      <c r="K133" s="346" t="s">
        <v>33</v>
      </c>
      <c r="L133" s="347">
        <f aca="true" t="shared" si="3" ref="L133:U133">SUM(L127:L132)</f>
        <v>66853344</v>
      </c>
      <c r="M133" s="347">
        <f t="shared" si="3"/>
        <v>637342</v>
      </c>
      <c r="N133" s="347">
        <f t="shared" si="3"/>
        <v>404855</v>
      </c>
      <c r="O133" s="347">
        <f t="shared" si="3"/>
        <v>67085831</v>
      </c>
      <c r="P133" s="347">
        <f t="shared" si="3"/>
        <v>40825384</v>
      </c>
      <c r="Q133" s="347">
        <f t="shared" si="3"/>
        <v>2113585</v>
      </c>
      <c r="R133" s="347">
        <f t="shared" si="3"/>
        <v>111715</v>
      </c>
      <c r="S133" s="347">
        <f t="shared" si="3"/>
        <v>42827254</v>
      </c>
      <c r="T133" s="347">
        <f t="shared" si="3"/>
        <v>24258577</v>
      </c>
      <c r="U133" s="348">
        <f t="shared" si="3"/>
        <v>26027960</v>
      </c>
    </row>
    <row r="134" spans="1:8" ht="15">
      <c r="A134" s="18"/>
      <c r="B134" s="18"/>
      <c r="C134" s="18"/>
      <c r="D134" s="18"/>
      <c r="E134" s="18"/>
      <c r="F134" s="18"/>
      <c r="G134" s="18"/>
      <c r="H134" s="18"/>
    </row>
    <row r="135" spans="1:11" ht="15" customHeight="1">
      <c r="A135" s="18"/>
      <c r="B135" s="18"/>
      <c r="C135" s="18"/>
      <c r="D135" s="18"/>
      <c r="E135" s="18"/>
      <c r="F135" s="18"/>
      <c r="G135" s="18"/>
      <c r="H135" s="18"/>
      <c r="K135" s="258"/>
    </row>
    <row r="136" spans="1:8" ht="15" customHeight="1">
      <c r="A136" s="18"/>
      <c r="B136" s="18"/>
      <c r="C136" s="18"/>
      <c r="D136" s="18"/>
      <c r="E136" s="18"/>
      <c r="F136" s="18"/>
      <c r="G136" s="18"/>
      <c r="H136" s="18"/>
    </row>
    <row r="137" spans="1:8" ht="15" customHeight="1">
      <c r="A137" s="18"/>
      <c r="B137" s="18"/>
      <c r="C137" s="18"/>
      <c r="D137" s="18"/>
      <c r="E137" s="18"/>
      <c r="F137" s="18"/>
      <c r="G137" s="18"/>
      <c r="H137" s="18"/>
    </row>
    <row r="138" spans="1:8" ht="15" customHeight="1">
      <c r="A138" s="18"/>
      <c r="B138" s="18"/>
      <c r="C138" s="18"/>
      <c r="D138" s="18"/>
      <c r="E138" s="18"/>
      <c r="F138" s="18"/>
      <c r="G138" s="18"/>
      <c r="H138" s="18"/>
    </row>
    <row r="139" spans="1:8" ht="15" customHeight="1">
      <c r="A139" s="18"/>
      <c r="B139" s="18"/>
      <c r="C139" s="18"/>
      <c r="D139" s="18"/>
      <c r="E139" s="18"/>
      <c r="F139" s="18"/>
      <c r="G139" s="18"/>
      <c r="H139" s="18"/>
    </row>
    <row r="140" spans="1:8" ht="15" customHeight="1">
      <c r="A140" s="18"/>
      <c r="B140" s="18"/>
      <c r="C140" s="18"/>
      <c r="D140" s="18"/>
      <c r="E140" s="18"/>
      <c r="F140" s="18"/>
      <c r="G140" s="18"/>
      <c r="H140" s="18"/>
    </row>
    <row r="141" spans="1:8" ht="15">
      <c r="A141" s="18"/>
      <c r="B141" s="18"/>
      <c r="C141" s="18"/>
      <c r="D141" s="18"/>
      <c r="E141" s="18"/>
      <c r="F141" s="18"/>
      <c r="G141" s="18"/>
      <c r="H141" s="18"/>
    </row>
    <row r="142" spans="1:8" ht="15">
      <c r="A142" s="18"/>
      <c r="B142" s="18"/>
      <c r="C142" s="18"/>
      <c r="D142" s="18"/>
      <c r="E142" s="18"/>
      <c r="F142" s="18"/>
      <c r="G142" s="18"/>
      <c r="H142" s="18"/>
    </row>
  </sheetData>
  <mergeCells count="28">
    <mergeCell ref="J121:K121"/>
    <mergeCell ref="L121:O121"/>
    <mergeCell ref="P121:S121"/>
    <mergeCell ref="T121:U121"/>
    <mergeCell ref="J119:U119"/>
    <mergeCell ref="J120:U120"/>
    <mergeCell ref="B2:H2"/>
    <mergeCell ref="A1:H1"/>
    <mergeCell ref="A37:H37"/>
    <mergeCell ref="B4:F4"/>
    <mergeCell ref="B11:H11"/>
    <mergeCell ref="B13:F13"/>
    <mergeCell ref="B31:F31"/>
    <mergeCell ref="B29:H29"/>
    <mergeCell ref="B78:F78"/>
    <mergeCell ref="B65:F65"/>
    <mergeCell ref="A84:H84"/>
    <mergeCell ref="A62:H62"/>
    <mergeCell ref="B56:F56"/>
    <mergeCell ref="B38:H38"/>
    <mergeCell ref="B40:F40"/>
    <mergeCell ref="B48:F48"/>
    <mergeCell ref="B86:F86"/>
    <mergeCell ref="B103:F103"/>
    <mergeCell ref="B109:F109"/>
    <mergeCell ref="A100:H100"/>
    <mergeCell ref="A101:H101"/>
    <mergeCell ref="A107:H107"/>
  </mergeCells>
  <printOptions horizontalCentered="1"/>
  <pageMargins left="0.340551181" right="0" top="0.75" bottom="0" header="0" footer="0"/>
  <pageSetup horizontalDpi="600" verticalDpi="600" orientation="portrait" paperSize="9" r:id="rId1"/>
  <rowBreaks count="3" manualBreakCount="3">
    <brk id="36" max="255" man="1"/>
    <brk id="75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VOLGA AIR TECHNICS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VATL</dc:creator>
  <cp:keywords/>
  <dc:description/>
  <cp:lastModifiedBy>pareshbhai</cp:lastModifiedBy>
  <cp:lastPrinted>2009-07-02T04:36:48Z</cp:lastPrinted>
  <dcterms:created xsi:type="dcterms:W3CDTF">2000-06-30T09:23:01Z</dcterms:created>
  <dcterms:modified xsi:type="dcterms:W3CDTF">2011-07-16T19:05:33Z</dcterms:modified>
  <cp:category/>
  <cp:version/>
  <cp:contentType/>
  <cp:contentStatus/>
</cp:coreProperties>
</file>